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8_{26EF0E4A-052F-4FCB-9450-2778741C5ECF}" xr6:coauthVersionLast="47" xr6:coauthVersionMax="47" xr10:uidLastSave="{00000000-0000-0000-0000-000000000000}"/>
  <bookViews>
    <workbookView xWindow="25572" yWindow="1452" windowWidth="17280" windowHeight="8928" tabRatio="899" activeTab="2" xr2:uid="{00000000-000D-0000-FFFF-FFFF00000000}"/>
  </bookViews>
  <sheets>
    <sheet name="MODELLO FINALE " sheetId="31" r:id="rId1"/>
    <sheet name="Tabelle" sheetId="35" r:id="rId2"/>
    <sheet name="Irrigazione- suolo" sheetId="32" r:id="rId3"/>
    <sheet name="azoto-suolo" sheetId="33" r:id="rId4"/>
    <sheet name="semina-suolo" sheetId="34" r:id="rId5"/>
    <sheet name="INVESTIMENTO IDEALE" sheetId="41" r:id="rId6"/>
    <sheet name="riassunto VIGIS no azoto-suolo" sheetId="42" r:id="rId7"/>
    <sheet name="modello" sheetId="30" r:id="rId8"/>
  </sheets>
  <definedNames>
    <definedName name="_xlnm._FilterDatabase" localSheetId="7" hidden="1">modello!$A$23:$AY$23</definedName>
    <definedName name="_xlnm._FilterDatabase" localSheetId="0" hidden="1">'MODELLO FINALE '!$A$12:$H$70</definedName>
    <definedName name="IBRIDO">#REF!</definedName>
    <definedName name="IRRIGAZIONE">#REF!</definedName>
    <definedName name="RESA_POTENZIALE">#REF!</definedName>
    <definedName name="US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31" l="1"/>
  <c r="F76" i="31"/>
  <c r="F75" i="31"/>
  <c r="F74" i="31"/>
  <c r="F73" i="31"/>
  <c r="F72" i="31"/>
  <c r="F71" i="31"/>
  <c r="F70" i="31"/>
  <c r="F69" i="31"/>
  <c r="F68" i="31"/>
  <c r="F67" i="31"/>
  <c r="F66" i="31"/>
  <c r="F65" i="31"/>
  <c r="F64" i="31"/>
  <c r="F63" i="31"/>
  <c r="F62" i="3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E77" i="31"/>
  <c r="E76" i="31"/>
  <c r="E75" i="31"/>
  <c r="E74" i="31"/>
  <c r="E73" i="31"/>
  <c r="E72" i="31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D77" i="31"/>
  <c r="G77" i="31" s="1"/>
  <c r="D76" i="31"/>
  <c r="G76" i="31" s="1"/>
  <c r="D75" i="31"/>
  <c r="G75" i="31" s="1"/>
  <c r="D74" i="31"/>
  <c r="G74" i="31" s="1"/>
  <c r="D73" i="31"/>
  <c r="G73" i="31" s="1"/>
  <c r="D72" i="31"/>
  <c r="G72" i="31" s="1"/>
  <c r="D71" i="31"/>
  <c r="G71" i="31" s="1"/>
  <c r="D70" i="31"/>
  <c r="G70" i="31" s="1"/>
  <c r="H70" i="31" s="1"/>
  <c r="D69" i="31"/>
  <c r="G69" i="31" s="1"/>
  <c r="D68" i="31"/>
  <c r="G68" i="31" s="1"/>
  <c r="D67" i="31"/>
  <c r="G67" i="31" s="1"/>
  <c r="D66" i="31"/>
  <c r="G66" i="31" s="1"/>
  <c r="D65" i="31"/>
  <c r="D64" i="31"/>
  <c r="D63" i="31"/>
  <c r="D62" i="31"/>
  <c r="G62" i="31" s="1"/>
  <c r="D61" i="31"/>
  <c r="G61" i="31" s="1"/>
  <c r="D60" i="31"/>
  <c r="G60" i="31" s="1"/>
  <c r="D59" i="31"/>
  <c r="G59" i="31" s="1"/>
  <c r="D58" i="31"/>
  <c r="G58" i="31" s="1"/>
  <c r="G64" i="31" l="1"/>
  <c r="G63" i="31"/>
  <c r="H63" i="31" s="1"/>
  <c r="G65" i="31"/>
  <c r="H65" i="31" s="1"/>
  <c r="H73" i="31"/>
  <c r="H58" i="31"/>
  <c r="H67" i="31"/>
  <c r="H60" i="31"/>
  <c r="H62" i="31"/>
  <c r="H68" i="31"/>
  <c r="H76" i="31"/>
  <c r="H77" i="31"/>
  <c r="H61" i="31"/>
  <c r="H66" i="31"/>
  <c r="H71" i="31"/>
  <c r="H69" i="31"/>
  <c r="H74" i="31"/>
  <c r="H75" i="31"/>
  <c r="H64" i="31"/>
  <c r="H59" i="31"/>
  <c r="H72" i="31"/>
  <c r="D49" i="30" l="1"/>
  <c r="D48" i="30"/>
  <c r="D47" i="30"/>
  <c r="D45" i="30"/>
  <c r="D44" i="30"/>
  <c r="D43" i="30"/>
  <c r="D41" i="30"/>
  <c r="D40" i="30"/>
  <c r="D39" i="30"/>
  <c r="AS35" i="30"/>
  <c r="AR35" i="30"/>
  <c r="AQ35" i="30"/>
  <c r="AP35" i="30"/>
  <c r="AO35" i="30"/>
  <c r="AN35" i="30"/>
  <c r="AM35" i="30"/>
  <c r="AL35" i="30"/>
  <c r="AK35" i="30"/>
  <c r="AJ35" i="30"/>
  <c r="AI35" i="30"/>
  <c r="AH35" i="30"/>
  <c r="AG35" i="30"/>
  <c r="AF35" i="30"/>
  <c r="AE35" i="30"/>
  <c r="AD35" i="30"/>
  <c r="AC35" i="30"/>
  <c r="AB35" i="30"/>
  <c r="AA35" i="30"/>
  <c r="Z35" i="30"/>
  <c r="Y35" i="30"/>
  <c r="W35" i="30"/>
  <c r="U35" i="30"/>
  <c r="T35" i="30"/>
  <c r="S35" i="30"/>
  <c r="R35" i="30"/>
  <c r="P35" i="30"/>
  <c r="AS34" i="30"/>
  <c r="AR34" i="30"/>
  <c r="AQ34" i="30"/>
  <c r="AP34" i="30"/>
  <c r="AO34" i="30"/>
  <c r="AN34" i="30"/>
  <c r="AM34" i="30"/>
  <c r="AL34" i="30"/>
  <c r="AK34" i="30"/>
  <c r="AJ34" i="30"/>
  <c r="AI34" i="30"/>
  <c r="AH34" i="30"/>
  <c r="AG34" i="30"/>
  <c r="AF34" i="30"/>
  <c r="AE34" i="30"/>
  <c r="AD34" i="30"/>
  <c r="AC34" i="30"/>
  <c r="AB34" i="30"/>
  <c r="AA34" i="30"/>
  <c r="Z34" i="30"/>
  <c r="Y34" i="30"/>
  <c r="W34" i="30"/>
  <c r="U34" i="30"/>
  <c r="T34" i="30"/>
  <c r="S34" i="30"/>
  <c r="R34" i="30"/>
  <c r="P34" i="30"/>
  <c r="AS33" i="30"/>
  <c r="AR33" i="30"/>
  <c r="AQ33" i="30"/>
  <c r="AP33" i="30"/>
  <c r="AO33" i="30"/>
  <c r="AN33" i="30"/>
  <c r="AM33" i="30"/>
  <c r="AL33" i="30"/>
  <c r="AK33" i="30"/>
  <c r="AJ33" i="30"/>
  <c r="AI33" i="30"/>
  <c r="AH33" i="30"/>
  <c r="AG33" i="30"/>
  <c r="AF33" i="30"/>
  <c r="AE33" i="30"/>
  <c r="AD33" i="30"/>
  <c r="AC33" i="30"/>
  <c r="AB33" i="30"/>
  <c r="AA33" i="30"/>
  <c r="Z33" i="30"/>
  <c r="Y33" i="30"/>
  <c r="W33" i="30"/>
  <c r="U33" i="30"/>
  <c r="T33" i="30"/>
  <c r="S33" i="30"/>
  <c r="R33" i="30"/>
  <c r="P33" i="30"/>
  <c r="AS32" i="30"/>
  <c r="AR32" i="30"/>
  <c r="AQ32" i="30"/>
  <c r="AP32" i="30"/>
  <c r="AO32" i="30"/>
  <c r="AN32" i="30"/>
  <c r="AM32" i="30"/>
  <c r="AL32" i="30"/>
  <c r="AK32" i="30"/>
  <c r="AJ32" i="30"/>
  <c r="AI32" i="30"/>
  <c r="AH32" i="30"/>
  <c r="AG32" i="30"/>
  <c r="AF32" i="30"/>
  <c r="AE32" i="30"/>
  <c r="AD32" i="30"/>
  <c r="AC32" i="30"/>
  <c r="AB32" i="30"/>
  <c r="AA32" i="30"/>
  <c r="Z32" i="30"/>
  <c r="Y32" i="30"/>
  <c r="W32" i="30"/>
  <c r="U32" i="30"/>
  <c r="T32" i="30"/>
  <c r="S32" i="30"/>
  <c r="R32" i="30"/>
  <c r="P32" i="30"/>
  <c r="AS31" i="30"/>
  <c r="AR31" i="30"/>
  <c r="AQ31" i="30"/>
  <c r="AP31" i="30"/>
  <c r="AO31" i="30"/>
  <c r="AN31" i="30"/>
  <c r="AM31" i="30"/>
  <c r="AL31" i="30"/>
  <c r="AK31" i="30"/>
  <c r="AJ31" i="30"/>
  <c r="AI31" i="30"/>
  <c r="AH31" i="30"/>
  <c r="AG31" i="30"/>
  <c r="AF31" i="30"/>
  <c r="AE31" i="30"/>
  <c r="AD31" i="30"/>
  <c r="AC31" i="30"/>
  <c r="AB31" i="30"/>
  <c r="AA31" i="30"/>
  <c r="Z31" i="30"/>
  <c r="Y31" i="30"/>
  <c r="W31" i="30"/>
  <c r="U31" i="30"/>
  <c r="T31" i="30"/>
  <c r="S31" i="30"/>
  <c r="R31" i="30"/>
  <c r="P31" i="30"/>
  <c r="AS30" i="30"/>
  <c r="AR30" i="30"/>
  <c r="AQ30" i="30"/>
  <c r="AP30" i="30"/>
  <c r="AO30" i="30"/>
  <c r="AN30" i="30"/>
  <c r="AM30" i="30"/>
  <c r="AL30" i="30"/>
  <c r="AK30" i="30"/>
  <c r="AJ30" i="30"/>
  <c r="AI30" i="30"/>
  <c r="AH30" i="30"/>
  <c r="AG30" i="30"/>
  <c r="AF30" i="30"/>
  <c r="AE30" i="30"/>
  <c r="AD30" i="30"/>
  <c r="AC30" i="30"/>
  <c r="AB30" i="30"/>
  <c r="AA30" i="30"/>
  <c r="Z30" i="30"/>
  <c r="Y30" i="30"/>
  <c r="W30" i="30"/>
  <c r="U30" i="30"/>
  <c r="T30" i="30"/>
  <c r="S30" i="30"/>
  <c r="R30" i="30"/>
  <c r="P30" i="30"/>
  <c r="AS29" i="30"/>
  <c r="AR29" i="30"/>
  <c r="AQ29" i="30"/>
  <c r="AP29" i="30"/>
  <c r="AO29" i="30"/>
  <c r="AN29" i="30"/>
  <c r="AM29" i="30"/>
  <c r="AL29" i="30"/>
  <c r="AK29" i="30"/>
  <c r="AJ29" i="30"/>
  <c r="AI29" i="30"/>
  <c r="AH29" i="30"/>
  <c r="AG29" i="30"/>
  <c r="AF29" i="30"/>
  <c r="AE29" i="30"/>
  <c r="AD29" i="30"/>
  <c r="AC29" i="30"/>
  <c r="AB29" i="30"/>
  <c r="AA29" i="30"/>
  <c r="Z29" i="30"/>
  <c r="Y29" i="30"/>
  <c r="W29" i="30"/>
  <c r="U29" i="30"/>
  <c r="T29" i="30"/>
  <c r="S29" i="30"/>
  <c r="R29" i="30"/>
  <c r="P29" i="30"/>
  <c r="AS28" i="30"/>
  <c r="AR28" i="30"/>
  <c r="AQ28" i="30"/>
  <c r="AP28" i="30"/>
  <c r="AO28" i="30"/>
  <c r="AN28" i="30"/>
  <c r="AM28" i="30"/>
  <c r="AL28" i="30"/>
  <c r="AK28" i="30"/>
  <c r="AJ28" i="30"/>
  <c r="AI28" i="30"/>
  <c r="AH28" i="30"/>
  <c r="AG28" i="30"/>
  <c r="AF28" i="30"/>
  <c r="AE28" i="30"/>
  <c r="AD28" i="30"/>
  <c r="AC28" i="30"/>
  <c r="AB28" i="30"/>
  <c r="AA28" i="30"/>
  <c r="Z28" i="30"/>
  <c r="Y28" i="30"/>
  <c r="W28" i="30"/>
  <c r="U28" i="30"/>
  <c r="T28" i="30"/>
  <c r="S28" i="30"/>
  <c r="R28" i="30"/>
  <c r="P28" i="30"/>
  <c r="AS27" i="30"/>
  <c r="AR27" i="30"/>
  <c r="AQ27" i="30"/>
  <c r="AP27" i="30"/>
  <c r="AO27" i="30"/>
  <c r="AN27" i="30"/>
  <c r="AM27" i="30"/>
  <c r="AL27" i="30"/>
  <c r="AK27" i="30"/>
  <c r="AJ27" i="30"/>
  <c r="AI27" i="30"/>
  <c r="AH27" i="30"/>
  <c r="AG27" i="30"/>
  <c r="AF27" i="30"/>
  <c r="AE27" i="30"/>
  <c r="AD27" i="30"/>
  <c r="AC27" i="30"/>
  <c r="AB27" i="30"/>
  <c r="AA27" i="30"/>
  <c r="Z27" i="30"/>
  <c r="Y27" i="30"/>
  <c r="W27" i="30"/>
  <c r="U27" i="30"/>
  <c r="T27" i="30"/>
  <c r="S27" i="30"/>
  <c r="R27" i="30"/>
  <c r="P27" i="30"/>
  <c r="AS26" i="30"/>
  <c r="AR26" i="30"/>
  <c r="AQ26" i="30"/>
  <c r="AP26" i="30"/>
  <c r="AO26" i="30"/>
  <c r="AN26" i="30"/>
  <c r="AM26" i="30"/>
  <c r="AL26" i="30"/>
  <c r="AK26" i="30"/>
  <c r="AJ26" i="30"/>
  <c r="AI26" i="30"/>
  <c r="AH26" i="30"/>
  <c r="AG26" i="30"/>
  <c r="AF26" i="30"/>
  <c r="AE26" i="30"/>
  <c r="AD26" i="30"/>
  <c r="AC26" i="30"/>
  <c r="AB26" i="30"/>
  <c r="AA26" i="30"/>
  <c r="Z26" i="30"/>
  <c r="Y26" i="30"/>
  <c r="W26" i="30"/>
  <c r="U26" i="30"/>
  <c r="T26" i="30"/>
  <c r="S26" i="30"/>
  <c r="R26" i="30"/>
  <c r="P26" i="30"/>
  <c r="AS25" i="30"/>
  <c r="AR25" i="30"/>
  <c r="AQ25" i="30"/>
  <c r="AP25" i="30"/>
  <c r="AO25" i="30"/>
  <c r="AN25" i="30"/>
  <c r="AM25" i="30"/>
  <c r="AL25" i="30"/>
  <c r="AK25" i="30"/>
  <c r="AJ25" i="30"/>
  <c r="AI25" i="30"/>
  <c r="AH25" i="30"/>
  <c r="AG25" i="30"/>
  <c r="AF25" i="30"/>
  <c r="AE25" i="30"/>
  <c r="AD25" i="30"/>
  <c r="AC25" i="30"/>
  <c r="AB25" i="30"/>
  <c r="AA25" i="30"/>
  <c r="Z25" i="30"/>
  <c r="Y25" i="30"/>
  <c r="W25" i="30"/>
  <c r="U25" i="30"/>
  <c r="T25" i="30"/>
  <c r="S25" i="30"/>
  <c r="R25" i="30"/>
  <c r="P25" i="30"/>
  <c r="AS24" i="30"/>
  <c r="AR24" i="30"/>
  <c r="AQ24" i="30"/>
  <c r="AP24" i="30"/>
  <c r="AO24" i="30"/>
  <c r="AN24" i="30"/>
  <c r="AM24" i="30"/>
  <c r="AL24" i="30"/>
  <c r="AK24" i="30"/>
  <c r="AJ24" i="30"/>
  <c r="AI24" i="30"/>
  <c r="AH24" i="30"/>
  <c r="AG24" i="30"/>
  <c r="AF24" i="30"/>
  <c r="AE24" i="30"/>
  <c r="AD24" i="30"/>
  <c r="AC24" i="30"/>
  <c r="AB24" i="30"/>
  <c r="AA24" i="30"/>
  <c r="Z24" i="30"/>
  <c r="Y24" i="30"/>
  <c r="W24" i="30"/>
  <c r="U24" i="30"/>
  <c r="T24" i="30"/>
  <c r="S24" i="30"/>
  <c r="R24" i="30"/>
  <c r="P24" i="30"/>
  <c r="AY23" i="30"/>
  <c r="AX23" i="30"/>
  <c r="AW23" i="30"/>
  <c r="AV23" i="30"/>
  <c r="AU23" i="30"/>
  <c r="AS23" i="30"/>
  <c r="AR23" i="30"/>
  <c r="AQ23" i="30"/>
  <c r="AP23" i="30"/>
  <c r="AO23" i="30"/>
  <c r="AY22" i="30"/>
  <c r="AX22" i="30"/>
  <c r="AW22" i="30"/>
  <c r="AV22" i="30"/>
  <c r="AU22" i="30"/>
  <c r="AS22" i="30"/>
  <c r="AR22" i="30"/>
  <c r="AQ22" i="30"/>
  <c r="AP22" i="30"/>
  <c r="AO22" i="30"/>
  <c r="X21" i="30"/>
  <c r="W21" i="30"/>
  <c r="V21" i="30"/>
  <c r="U21" i="30"/>
  <c r="T21" i="30"/>
  <c r="S21" i="30"/>
  <c r="R21" i="30"/>
  <c r="X20" i="30"/>
  <c r="W20" i="30"/>
  <c r="V20" i="30"/>
  <c r="U20" i="30"/>
  <c r="T20" i="30"/>
  <c r="S20" i="30"/>
  <c r="R20" i="30"/>
  <c r="X19" i="30"/>
  <c r="W19" i="30"/>
  <c r="V19" i="30"/>
  <c r="U19" i="30"/>
  <c r="T19" i="30"/>
  <c r="S19" i="30"/>
  <c r="R19" i="30"/>
  <c r="BN16" i="30"/>
  <c r="BL16" i="30"/>
  <c r="BK16" i="30"/>
  <c r="BJ16" i="30"/>
  <c r="BI16" i="30"/>
  <c r="BH16" i="30"/>
  <c r="BG16" i="30"/>
  <c r="BE16" i="30"/>
  <c r="BD16" i="30"/>
  <c r="BC16" i="30"/>
  <c r="BB16" i="30"/>
  <c r="BA16" i="30"/>
  <c r="AZ16" i="30"/>
  <c r="AY16" i="30"/>
  <c r="AX16" i="30"/>
  <c r="AW16" i="30"/>
  <c r="AV16" i="30"/>
  <c r="AU16" i="30"/>
  <c r="AT16" i="30"/>
  <c r="AR16" i="30"/>
  <c r="AQ16" i="30"/>
  <c r="AP16" i="30"/>
  <c r="AD16" i="30"/>
  <c r="BN15" i="30"/>
  <c r="BL15" i="30"/>
  <c r="BK15" i="30"/>
  <c r="BJ15" i="30"/>
  <c r="BI15" i="30"/>
  <c r="BH15" i="30"/>
  <c r="BG15" i="30"/>
  <c r="BE15" i="30"/>
  <c r="BD15" i="30"/>
  <c r="BC15" i="30"/>
  <c r="BB15" i="30"/>
  <c r="BA15" i="30"/>
  <c r="AZ15" i="30"/>
  <c r="AY15" i="30"/>
  <c r="AX15" i="30"/>
  <c r="AW15" i="30"/>
  <c r="AV15" i="30"/>
  <c r="AU15" i="30"/>
  <c r="AT15" i="30"/>
  <c r="AR15" i="30"/>
  <c r="AQ15" i="30"/>
  <c r="AP15" i="30"/>
  <c r="BN14" i="30"/>
  <c r="BL14" i="30"/>
  <c r="BK14" i="30"/>
  <c r="BJ14" i="30"/>
  <c r="BI14" i="30"/>
  <c r="BH14" i="30"/>
  <c r="BG14" i="30"/>
  <c r="BE14" i="30"/>
  <c r="BD14" i="30"/>
  <c r="BC14" i="30"/>
  <c r="BB14" i="30"/>
  <c r="BA14" i="30"/>
  <c r="AZ14" i="30"/>
  <c r="AY14" i="30"/>
  <c r="AX14" i="30"/>
  <c r="AW14" i="30"/>
  <c r="AV14" i="30"/>
  <c r="AU14" i="30"/>
  <c r="AT14" i="30"/>
  <c r="AR14" i="30"/>
  <c r="AQ14" i="30"/>
  <c r="AP14" i="30"/>
  <c r="BN13" i="30"/>
  <c r="BL13" i="30"/>
  <c r="BK13" i="30"/>
  <c r="BJ13" i="30"/>
  <c r="BI13" i="30"/>
  <c r="BH13" i="30"/>
  <c r="BG13" i="30"/>
  <c r="BE13" i="30"/>
  <c r="BD13" i="30"/>
  <c r="BC13" i="30"/>
  <c r="BB13" i="30"/>
  <c r="BA13" i="30"/>
  <c r="AZ13" i="30"/>
  <c r="AY13" i="30"/>
  <c r="AX13" i="30"/>
  <c r="AW13" i="30"/>
  <c r="AV13" i="30"/>
  <c r="AU13" i="30"/>
  <c r="AT13" i="30"/>
  <c r="AR13" i="30"/>
  <c r="AQ13" i="30"/>
  <c r="AP13" i="30"/>
  <c r="BN12" i="30"/>
  <c r="BL12" i="30"/>
  <c r="BK12" i="30"/>
  <c r="BJ12" i="30"/>
  <c r="BI12" i="30"/>
  <c r="BH12" i="30"/>
  <c r="BG12" i="30"/>
  <c r="BE12" i="30"/>
  <c r="BD12" i="30"/>
  <c r="BC12" i="30"/>
  <c r="BB12" i="30"/>
  <c r="BA12" i="30"/>
  <c r="AZ12" i="30"/>
  <c r="AY12" i="30"/>
  <c r="AX12" i="30"/>
  <c r="AW12" i="30"/>
  <c r="AV12" i="30"/>
  <c r="AU12" i="30"/>
  <c r="AT12" i="30"/>
  <c r="AR12" i="30"/>
  <c r="AQ12" i="30"/>
  <c r="AP12" i="30"/>
  <c r="BN11" i="30"/>
  <c r="BL11" i="30"/>
  <c r="BK11" i="30"/>
  <c r="BJ11" i="30"/>
  <c r="BI11" i="30"/>
  <c r="BH11" i="30"/>
  <c r="BG11" i="30"/>
  <c r="BE11" i="30"/>
  <c r="BD11" i="30"/>
  <c r="BC11" i="30"/>
  <c r="BB11" i="30"/>
  <c r="BA11" i="30"/>
  <c r="AZ11" i="30"/>
  <c r="AY11" i="30"/>
  <c r="AX11" i="30"/>
  <c r="AW11" i="30"/>
  <c r="AV11" i="30"/>
  <c r="AU11" i="30"/>
  <c r="AT11" i="30"/>
  <c r="AR11" i="30"/>
  <c r="AQ11" i="30"/>
  <c r="AP11" i="30"/>
  <c r="BN10" i="30"/>
  <c r="BL10" i="30"/>
  <c r="BK10" i="30"/>
  <c r="BJ10" i="30"/>
  <c r="BI10" i="30"/>
  <c r="BH10" i="30"/>
  <c r="BG10" i="30"/>
  <c r="BE10" i="30"/>
  <c r="BD10" i="30"/>
  <c r="BC10" i="30"/>
  <c r="BB10" i="30"/>
  <c r="BA10" i="30"/>
  <c r="AZ10" i="30"/>
  <c r="AY10" i="30"/>
  <c r="AX10" i="30"/>
  <c r="AW10" i="30"/>
  <c r="AV10" i="30"/>
  <c r="AU10" i="30"/>
  <c r="AT10" i="30"/>
  <c r="AR10" i="30"/>
  <c r="AQ10" i="30"/>
  <c r="AP10" i="30"/>
  <c r="BN9" i="30"/>
  <c r="BL9" i="30"/>
  <c r="BK9" i="30"/>
  <c r="BJ9" i="30"/>
  <c r="BI9" i="30"/>
  <c r="BH9" i="30"/>
  <c r="BG9" i="30"/>
  <c r="BE9" i="30"/>
  <c r="BD9" i="30"/>
  <c r="BC9" i="30"/>
  <c r="BB9" i="30"/>
  <c r="BA9" i="30"/>
  <c r="AZ9" i="30"/>
  <c r="AY9" i="30"/>
  <c r="AX9" i="30"/>
  <c r="AW9" i="30"/>
  <c r="AV9" i="30"/>
  <c r="AU9" i="30"/>
  <c r="AT9" i="30"/>
  <c r="AR9" i="30"/>
  <c r="AQ9" i="30"/>
  <c r="AP9" i="30"/>
  <c r="BN8" i="30"/>
  <c r="BL8" i="30"/>
  <c r="BK8" i="30"/>
  <c r="BJ8" i="30"/>
  <c r="BI8" i="30"/>
  <c r="BH8" i="30"/>
  <c r="BG8" i="30"/>
  <c r="BE8" i="30"/>
  <c r="BD8" i="30"/>
  <c r="BC8" i="30"/>
  <c r="BB8" i="30"/>
  <c r="BA8" i="30"/>
  <c r="AZ8" i="30"/>
  <c r="AY8" i="30"/>
  <c r="AX8" i="30"/>
  <c r="AW8" i="30"/>
  <c r="AV8" i="30"/>
  <c r="AU8" i="30"/>
  <c r="AT8" i="30"/>
  <c r="AR8" i="30"/>
  <c r="AQ8" i="30"/>
  <c r="AP8" i="30"/>
  <c r="BN7" i="30"/>
  <c r="BL7" i="30"/>
  <c r="BK7" i="30"/>
  <c r="BJ7" i="30"/>
  <c r="BI7" i="30"/>
  <c r="BH7" i="30"/>
  <c r="BG7" i="30"/>
  <c r="BE7" i="30"/>
  <c r="BD7" i="30"/>
  <c r="BC7" i="30"/>
  <c r="BB7" i="30"/>
  <c r="BA7" i="30"/>
  <c r="AZ7" i="30"/>
  <c r="AY7" i="30"/>
  <c r="AX7" i="30"/>
  <c r="AW7" i="30"/>
  <c r="AV7" i="30"/>
  <c r="AU7" i="30"/>
  <c r="AT7" i="30"/>
  <c r="AR7" i="30"/>
  <c r="AQ7" i="30"/>
  <c r="AP7" i="30"/>
  <c r="BN6" i="30"/>
  <c r="BL6" i="30"/>
  <c r="BK6" i="30"/>
  <c r="BJ6" i="30"/>
  <c r="BI6" i="30"/>
  <c r="BH6" i="30"/>
  <c r="BG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R6" i="30"/>
  <c r="AQ6" i="30"/>
  <c r="AP6" i="30"/>
  <c r="BN5" i="30"/>
  <c r="BL5" i="30"/>
  <c r="BK5" i="30"/>
  <c r="BJ5" i="30"/>
  <c r="BI5" i="30"/>
  <c r="BH5" i="30"/>
  <c r="BG5" i="30"/>
  <c r="BE5" i="30"/>
  <c r="BD5" i="30"/>
  <c r="BC5" i="30"/>
  <c r="BB5" i="30"/>
  <c r="BA5" i="30"/>
  <c r="AZ5" i="30"/>
  <c r="AY5" i="30"/>
  <c r="AX5" i="30"/>
  <c r="AW5" i="30"/>
  <c r="AV5" i="30"/>
  <c r="AU5" i="30"/>
  <c r="AT5" i="30"/>
  <c r="AR5" i="30"/>
  <c r="AQ5" i="30"/>
  <c r="AP5" i="30"/>
  <c r="AY4" i="30"/>
  <c r="AX4" i="30"/>
  <c r="AW4" i="30"/>
  <c r="AV4" i="30"/>
  <c r="AU4" i="30"/>
  <c r="AQ4" i="30"/>
  <c r="R36" i="34"/>
  <c r="Q36" i="34"/>
  <c r="P36" i="34"/>
  <c r="O36" i="34"/>
  <c r="N36" i="34"/>
  <c r="M36" i="34"/>
  <c r="L36" i="34"/>
  <c r="K36" i="34"/>
  <c r="J36" i="34"/>
  <c r="I36" i="34"/>
  <c r="H36" i="34"/>
  <c r="R35" i="34"/>
  <c r="Q35" i="34"/>
  <c r="P35" i="34"/>
  <c r="O35" i="34"/>
  <c r="N35" i="34"/>
  <c r="M35" i="34"/>
  <c r="L35" i="34"/>
  <c r="K35" i="34"/>
  <c r="J35" i="34"/>
  <c r="I35" i="34"/>
  <c r="H35" i="34"/>
  <c r="R34" i="34"/>
  <c r="Q34" i="34"/>
  <c r="P34" i="34"/>
  <c r="O34" i="34"/>
  <c r="N34" i="34"/>
  <c r="M34" i="34"/>
  <c r="L34" i="34"/>
  <c r="K34" i="34"/>
  <c r="J34" i="34"/>
  <c r="I34" i="34"/>
  <c r="H34" i="34"/>
  <c r="R33" i="34"/>
  <c r="Q33" i="34"/>
  <c r="P33" i="34"/>
  <c r="O33" i="34"/>
  <c r="N33" i="34"/>
  <c r="M33" i="34"/>
  <c r="L33" i="34"/>
  <c r="K33" i="34"/>
  <c r="J33" i="34"/>
  <c r="I33" i="34"/>
  <c r="H33" i="34"/>
  <c r="R32" i="34"/>
  <c r="Q32" i="34"/>
  <c r="P32" i="34"/>
  <c r="O32" i="34"/>
  <c r="N32" i="34"/>
  <c r="M32" i="34"/>
  <c r="L32" i="34"/>
  <c r="K32" i="34"/>
  <c r="J32" i="34"/>
  <c r="I32" i="34"/>
  <c r="H32" i="34"/>
  <c r="R31" i="34"/>
  <c r="Q31" i="34"/>
  <c r="P31" i="34"/>
  <c r="O31" i="34"/>
  <c r="N31" i="34"/>
  <c r="M31" i="34"/>
  <c r="L31" i="34"/>
  <c r="K31" i="34"/>
  <c r="J31" i="34"/>
  <c r="I31" i="34"/>
  <c r="H31" i="34"/>
  <c r="R30" i="34"/>
  <c r="Q30" i="34"/>
  <c r="P30" i="34"/>
  <c r="O30" i="34"/>
  <c r="N30" i="34"/>
  <c r="M30" i="34"/>
  <c r="L30" i="34"/>
  <c r="K30" i="34"/>
  <c r="J30" i="34"/>
  <c r="I30" i="34"/>
  <c r="H30" i="34"/>
  <c r="R29" i="34"/>
  <c r="Q29" i="34"/>
  <c r="P29" i="34"/>
  <c r="O29" i="34"/>
  <c r="N29" i="34"/>
  <c r="M29" i="34"/>
  <c r="L29" i="34"/>
  <c r="K29" i="34"/>
  <c r="J29" i="34"/>
  <c r="I29" i="34"/>
  <c r="H29" i="34"/>
  <c r="R28" i="34"/>
  <c r="Q28" i="34"/>
  <c r="P28" i="34"/>
  <c r="O28" i="34"/>
  <c r="N28" i="34"/>
  <c r="M28" i="34"/>
  <c r="L28" i="34"/>
  <c r="K28" i="34"/>
  <c r="J28" i="34"/>
  <c r="I28" i="34"/>
  <c r="H28" i="34"/>
  <c r="R27" i="34"/>
  <c r="Q27" i="34"/>
  <c r="P27" i="34"/>
  <c r="O27" i="34"/>
  <c r="N27" i="34"/>
  <c r="M27" i="34"/>
  <c r="L27" i="34"/>
  <c r="K27" i="34"/>
  <c r="J27" i="34"/>
  <c r="I27" i="34"/>
  <c r="H27" i="34"/>
  <c r="R26" i="34"/>
  <c r="Q26" i="34"/>
  <c r="P26" i="34"/>
  <c r="O26" i="34"/>
  <c r="N26" i="34"/>
  <c r="M26" i="34"/>
  <c r="L26" i="34"/>
  <c r="K26" i="34"/>
  <c r="J26" i="34"/>
  <c r="I26" i="34"/>
  <c r="H26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R22" i="34"/>
  <c r="Q22" i="34"/>
  <c r="P22" i="34"/>
  <c r="O22" i="34"/>
  <c r="N22" i="34"/>
  <c r="M22" i="34"/>
  <c r="Q15" i="34"/>
  <c r="E38" i="33"/>
  <c r="E37" i="33"/>
  <c r="E36" i="33"/>
  <c r="E35" i="33"/>
  <c r="E34" i="33"/>
  <c r="E33" i="33"/>
  <c r="E32" i="33"/>
  <c r="E31" i="33"/>
  <c r="E30" i="33"/>
  <c r="E29" i="33"/>
  <c r="E28" i="33"/>
  <c r="E27" i="33"/>
  <c r="Z26" i="33"/>
  <c r="Y26" i="33"/>
  <c r="X26" i="33"/>
  <c r="W26" i="33"/>
  <c r="V26" i="33"/>
  <c r="S26" i="33"/>
  <c r="R26" i="33"/>
  <c r="Q26" i="33"/>
  <c r="P26" i="33"/>
  <c r="O26" i="33"/>
  <c r="M26" i="33"/>
  <c r="L26" i="33"/>
  <c r="K26" i="33"/>
  <c r="J26" i="33"/>
  <c r="I26" i="33"/>
  <c r="C26" i="33"/>
  <c r="D32" i="33" s="1"/>
  <c r="F32" i="33" s="1"/>
  <c r="E17" i="33"/>
  <c r="E16" i="33"/>
  <c r="E15" i="33"/>
  <c r="E14" i="33"/>
  <c r="E13" i="33"/>
  <c r="E12" i="33"/>
  <c r="E11" i="33"/>
  <c r="E10" i="33"/>
  <c r="E9" i="33"/>
  <c r="E8" i="33"/>
  <c r="E7" i="33"/>
  <c r="E6" i="33"/>
  <c r="Z5" i="33"/>
  <c r="Y5" i="33"/>
  <c r="X5" i="33"/>
  <c r="W5" i="33"/>
  <c r="V5" i="33"/>
  <c r="S5" i="33"/>
  <c r="R5" i="33"/>
  <c r="Q5" i="33"/>
  <c r="P5" i="33"/>
  <c r="O5" i="33"/>
  <c r="M5" i="33"/>
  <c r="L5" i="33"/>
  <c r="K5" i="33"/>
  <c r="J5" i="33"/>
  <c r="I5" i="33"/>
  <c r="C5" i="33"/>
  <c r="D13" i="33" s="1"/>
  <c r="F13" i="33" s="1"/>
  <c r="AK35" i="32"/>
  <c r="AJ35" i="32"/>
  <c r="AI35" i="32"/>
  <c r="AH35" i="32"/>
  <c r="AG35" i="32"/>
  <c r="AF35" i="32"/>
  <c r="AE35" i="32"/>
  <c r="AD35" i="32"/>
  <c r="AC35" i="32"/>
  <c r="AB35" i="32"/>
  <c r="AA35" i="32"/>
  <c r="Z35" i="32"/>
  <c r="Y35" i="32"/>
  <c r="X35" i="32"/>
  <c r="W35" i="32"/>
  <c r="V35" i="32"/>
  <c r="U35" i="32"/>
  <c r="T35" i="32"/>
  <c r="S35" i="32"/>
  <c r="R35" i="32"/>
  <c r="P35" i="32"/>
  <c r="N35" i="32"/>
  <c r="M35" i="32"/>
  <c r="L35" i="32"/>
  <c r="K35" i="32"/>
  <c r="I35" i="32"/>
  <c r="AK34" i="32"/>
  <c r="AJ34" i="32"/>
  <c r="AI34" i="32"/>
  <c r="AH34" i="32"/>
  <c r="AG34" i="32"/>
  <c r="AF34" i="32"/>
  <c r="AE34" i="32"/>
  <c r="AD34" i="32"/>
  <c r="AC34" i="32"/>
  <c r="AB34" i="32"/>
  <c r="AA34" i="32"/>
  <c r="Z34" i="32"/>
  <c r="Y34" i="32"/>
  <c r="X34" i="32"/>
  <c r="W34" i="32"/>
  <c r="V34" i="32"/>
  <c r="U34" i="32"/>
  <c r="T34" i="32"/>
  <c r="S34" i="32"/>
  <c r="R34" i="32"/>
  <c r="P34" i="32"/>
  <c r="N34" i="32"/>
  <c r="M34" i="32"/>
  <c r="L34" i="32"/>
  <c r="K34" i="32"/>
  <c r="I34" i="32"/>
  <c r="AK33" i="32"/>
  <c r="AJ33" i="32"/>
  <c r="AI33" i="32"/>
  <c r="AH33" i="32"/>
  <c r="AG33" i="32"/>
  <c r="AF33" i="32"/>
  <c r="AE33" i="32"/>
  <c r="AD33" i="32"/>
  <c r="AC33" i="32"/>
  <c r="AB33" i="32"/>
  <c r="AA33" i="32"/>
  <c r="Z33" i="32"/>
  <c r="Y33" i="32"/>
  <c r="X33" i="32"/>
  <c r="W33" i="32"/>
  <c r="V33" i="32"/>
  <c r="U33" i="32"/>
  <c r="T33" i="32"/>
  <c r="S33" i="32"/>
  <c r="R33" i="32"/>
  <c r="P33" i="32"/>
  <c r="N33" i="32"/>
  <c r="M33" i="32"/>
  <c r="L33" i="32"/>
  <c r="K33" i="32"/>
  <c r="I33" i="32"/>
  <c r="AK32" i="32"/>
  <c r="AJ32" i="32"/>
  <c r="AI32" i="32"/>
  <c r="AH32" i="32"/>
  <c r="AG32" i="32"/>
  <c r="AF32" i="32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R32" i="32"/>
  <c r="P32" i="32"/>
  <c r="N32" i="32"/>
  <c r="M32" i="32"/>
  <c r="L32" i="32"/>
  <c r="K32" i="32"/>
  <c r="I32" i="32"/>
  <c r="AK31" i="32"/>
  <c r="AJ31" i="32"/>
  <c r="AI31" i="32"/>
  <c r="AH31" i="32"/>
  <c r="AG31" i="32"/>
  <c r="AF31" i="32"/>
  <c r="AE31" i="32"/>
  <c r="AD31" i="32"/>
  <c r="AC31" i="32"/>
  <c r="AB31" i="32"/>
  <c r="AA31" i="32"/>
  <c r="Z31" i="32"/>
  <c r="Y31" i="32"/>
  <c r="X31" i="32"/>
  <c r="W31" i="32"/>
  <c r="V31" i="32"/>
  <c r="U31" i="32"/>
  <c r="T31" i="32"/>
  <c r="S31" i="32"/>
  <c r="R31" i="32"/>
  <c r="P31" i="32"/>
  <c r="N31" i="32"/>
  <c r="M31" i="32"/>
  <c r="L31" i="32"/>
  <c r="K31" i="32"/>
  <c r="I31" i="32"/>
  <c r="AK30" i="32"/>
  <c r="AJ30" i="32"/>
  <c r="AI30" i="32"/>
  <c r="AH30" i="32"/>
  <c r="AG30" i="32"/>
  <c r="AF30" i="32"/>
  <c r="AE30" i="32"/>
  <c r="AD30" i="32"/>
  <c r="AC30" i="32"/>
  <c r="AB30" i="32"/>
  <c r="AA30" i="32"/>
  <c r="Z30" i="32"/>
  <c r="Y30" i="32"/>
  <c r="X30" i="32"/>
  <c r="W30" i="32"/>
  <c r="V30" i="32"/>
  <c r="U30" i="32"/>
  <c r="T30" i="32"/>
  <c r="S30" i="32"/>
  <c r="R30" i="32"/>
  <c r="P30" i="32"/>
  <c r="N30" i="32"/>
  <c r="M30" i="32"/>
  <c r="L30" i="32"/>
  <c r="K30" i="32"/>
  <c r="I30" i="32"/>
  <c r="AK29" i="32"/>
  <c r="AJ29" i="32"/>
  <c r="AI29" i="32"/>
  <c r="AH29" i="32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P29" i="32"/>
  <c r="N29" i="32"/>
  <c r="M29" i="32"/>
  <c r="L29" i="32"/>
  <c r="K29" i="32"/>
  <c r="I29" i="32"/>
  <c r="AK28" i="32"/>
  <c r="AJ28" i="32"/>
  <c r="AI28" i="32"/>
  <c r="AH28" i="32"/>
  <c r="AG28" i="32"/>
  <c r="AF28" i="32"/>
  <c r="AE28" i="32"/>
  <c r="AD28" i="32"/>
  <c r="AC28" i="32"/>
  <c r="AB28" i="32"/>
  <c r="AA28" i="32"/>
  <c r="Z28" i="32"/>
  <c r="Y28" i="32"/>
  <c r="X28" i="32"/>
  <c r="W28" i="32"/>
  <c r="V28" i="32"/>
  <c r="U28" i="32"/>
  <c r="T28" i="32"/>
  <c r="S28" i="32"/>
  <c r="R28" i="32"/>
  <c r="P28" i="32"/>
  <c r="N28" i="32"/>
  <c r="M28" i="32"/>
  <c r="L28" i="32"/>
  <c r="K28" i="32"/>
  <c r="I28" i="32"/>
  <c r="AK27" i="32"/>
  <c r="AJ27" i="32"/>
  <c r="AI27" i="32"/>
  <c r="AH27" i="32"/>
  <c r="AG27" i="32"/>
  <c r="AF27" i="32"/>
  <c r="AE27" i="32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P27" i="32"/>
  <c r="N27" i="32"/>
  <c r="M27" i="32"/>
  <c r="L27" i="32"/>
  <c r="K27" i="32"/>
  <c r="I27" i="32"/>
  <c r="AK26" i="32"/>
  <c r="AJ26" i="32"/>
  <c r="AI26" i="32"/>
  <c r="AH26" i="32"/>
  <c r="AG26" i="32"/>
  <c r="AF26" i="32"/>
  <c r="AE26" i="32"/>
  <c r="AD26" i="32"/>
  <c r="AC26" i="32"/>
  <c r="AB26" i="32"/>
  <c r="AA26" i="32"/>
  <c r="Z26" i="32"/>
  <c r="Y26" i="32"/>
  <c r="X26" i="32"/>
  <c r="W26" i="32"/>
  <c r="V26" i="32"/>
  <c r="U26" i="32"/>
  <c r="T26" i="32"/>
  <c r="S26" i="32"/>
  <c r="R26" i="32"/>
  <c r="P26" i="32"/>
  <c r="N26" i="32"/>
  <c r="M26" i="32"/>
  <c r="L26" i="32"/>
  <c r="K26" i="32"/>
  <c r="I26" i="32"/>
  <c r="AK25" i="32"/>
  <c r="AJ25" i="32"/>
  <c r="AI25" i="32"/>
  <c r="AH25" i="32"/>
  <c r="AG25" i="32"/>
  <c r="AF25" i="32"/>
  <c r="AE25" i="32"/>
  <c r="AD25" i="32"/>
  <c r="AC25" i="32"/>
  <c r="AB25" i="32"/>
  <c r="AA25" i="32"/>
  <c r="Z25" i="32"/>
  <c r="Y25" i="32"/>
  <c r="X25" i="32"/>
  <c r="W25" i="32"/>
  <c r="V25" i="32"/>
  <c r="U25" i="32"/>
  <c r="T25" i="32"/>
  <c r="S25" i="32"/>
  <c r="R25" i="32"/>
  <c r="P25" i="32"/>
  <c r="N25" i="32"/>
  <c r="M25" i="32"/>
  <c r="L25" i="32"/>
  <c r="K25" i="32"/>
  <c r="I25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P24" i="32"/>
  <c r="N24" i="32"/>
  <c r="M24" i="32"/>
  <c r="L24" i="32"/>
  <c r="K24" i="32"/>
  <c r="I24" i="32"/>
  <c r="AK23" i="32"/>
  <c r="AI23" i="32"/>
  <c r="AH23" i="32"/>
  <c r="AG23" i="32"/>
  <c r="AF23" i="32"/>
  <c r="AC23" i="32"/>
  <c r="AA23" i="32"/>
  <c r="Z23" i="32"/>
  <c r="Y23" i="32"/>
  <c r="X23" i="32"/>
  <c r="AC22" i="32"/>
  <c r="AB22" i="32"/>
  <c r="AA22" i="32"/>
  <c r="Z22" i="32"/>
  <c r="Y22" i="32"/>
  <c r="X22" i="32"/>
  <c r="Q21" i="32"/>
  <c r="P21" i="32"/>
  <c r="O21" i="32"/>
  <c r="N21" i="32"/>
  <c r="M21" i="32"/>
  <c r="L21" i="32"/>
  <c r="K21" i="32"/>
  <c r="Q20" i="32"/>
  <c r="P20" i="32"/>
  <c r="O20" i="32"/>
  <c r="N20" i="32"/>
  <c r="M20" i="32"/>
  <c r="L20" i="32"/>
  <c r="K20" i="32"/>
  <c r="AE19" i="32"/>
  <c r="Q19" i="32"/>
  <c r="P19" i="32"/>
  <c r="O19" i="32"/>
  <c r="N19" i="32"/>
  <c r="M19" i="32"/>
  <c r="L19" i="32"/>
  <c r="K19" i="32"/>
  <c r="L9" i="35"/>
  <c r="G9" i="35"/>
  <c r="L8" i="35"/>
  <c r="G8" i="35"/>
  <c r="L7" i="35"/>
  <c r="G7" i="35"/>
  <c r="L6" i="35"/>
  <c r="G6" i="35"/>
  <c r="L5" i="35"/>
  <c r="G5" i="35"/>
  <c r="L4" i="35"/>
  <c r="L3" i="35"/>
  <c r="D57" i="31"/>
  <c r="G57" i="31" s="1"/>
  <c r="D56" i="31"/>
  <c r="G56" i="31" s="1"/>
  <c r="D55" i="31"/>
  <c r="G55" i="31" s="1"/>
  <c r="D54" i="31"/>
  <c r="G54" i="31" s="1"/>
  <c r="D53" i="31"/>
  <c r="G53" i="31" s="1"/>
  <c r="D52" i="31"/>
  <c r="G52" i="31" s="1"/>
  <c r="D51" i="31"/>
  <c r="G51" i="31" s="1"/>
  <c r="D50" i="31"/>
  <c r="G50" i="31" s="1"/>
  <c r="D49" i="31"/>
  <c r="G49" i="31" s="1"/>
  <c r="D48" i="31"/>
  <c r="G48" i="31" s="1"/>
  <c r="D47" i="31"/>
  <c r="G47" i="31" s="1"/>
  <c r="D46" i="31"/>
  <c r="G46" i="31" s="1"/>
  <c r="D45" i="31"/>
  <c r="G45" i="31" s="1"/>
  <c r="D44" i="31"/>
  <c r="G44" i="31" s="1"/>
  <c r="D43" i="31"/>
  <c r="G43" i="31" s="1"/>
  <c r="D42" i="31"/>
  <c r="G42" i="31" s="1"/>
  <c r="D41" i="31"/>
  <c r="G41" i="31" s="1"/>
  <c r="D40" i="31"/>
  <c r="G40" i="31" s="1"/>
  <c r="D39" i="31"/>
  <c r="G39" i="31" s="1"/>
  <c r="D38" i="31"/>
  <c r="G38" i="31" s="1"/>
  <c r="D37" i="31"/>
  <c r="G37" i="31" s="1"/>
  <c r="D36" i="31"/>
  <c r="G36" i="31" s="1"/>
  <c r="D35" i="31"/>
  <c r="G35" i="31" s="1"/>
  <c r="D34" i="31"/>
  <c r="G34" i="31" s="1"/>
  <c r="D33" i="31"/>
  <c r="G33" i="31" s="1"/>
  <c r="D32" i="31"/>
  <c r="G32" i="31" s="1"/>
  <c r="D31" i="31"/>
  <c r="G31" i="31" s="1"/>
  <c r="D30" i="31"/>
  <c r="G30" i="31" s="1"/>
  <c r="D29" i="31"/>
  <c r="G29" i="31" s="1"/>
  <c r="D28" i="31"/>
  <c r="G28" i="31" s="1"/>
  <c r="D27" i="31"/>
  <c r="G27" i="31" s="1"/>
  <c r="D26" i="31"/>
  <c r="G26" i="31" s="1"/>
  <c r="D25" i="31"/>
  <c r="G25" i="31" s="1"/>
  <c r="D24" i="31"/>
  <c r="G24" i="31" s="1"/>
  <c r="D23" i="31"/>
  <c r="G23" i="31" s="1"/>
  <c r="D22" i="31"/>
  <c r="G22" i="31" s="1"/>
  <c r="D21" i="31"/>
  <c r="G21" i="31" s="1"/>
  <c r="D20" i="31"/>
  <c r="G20" i="31" s="1"/>
  <c r="D19" i="31"/>
  <c r="G19" i="31" s="1"/>
  <c r="D18" i="31"/>
  <c r="G18" i="31" s="1"/>
  <c r="D17" i="31"/>
  <c r="G17" i="31" s="1"/>
  <c r="D16" i="31"/>
  <c r="G16" i="31" s="1"/>
  <c r="D15" i="31"/>
  <c r="G15" i="31" s="1"/>
  <c r="D14" i="31"/>
  <c r="G14" i="31" s="1"/>
  <c r="F13" i="31"/>
  <c r="D13" i="31"/>
  <c r="D29" i="33" l="1"/>
  <c r="F29" i="33" s="1"/>
  <c r="K29" i="33" s="1"/>
  <c r="D37" i="33"/>
  <c r="F37" i="33" s="1"/>
  <c r="L37" i="33" s="1"/>
  <c r="M32" i="33"/>
  <c r="L32" i="33"/>
  <c r="K32" i="33"/>
  <c r="J32" i="33"/>
  <c r="I32" i="33"/>
  <c r="H32" i="33"/>
  <c r="L29" i="33"/>
  <c r="I29" i="33"/>
  <c r="K37" i="33"/>
  <c r="J37" i="33"/>
  <c r="I37" i="33"/>
  <c r="H37" i="33"/>
  <c r="M37" i="33"/>
  <c r="D34" i="33"/>
  <c r="F34" i="33" s="1"/>
  <c r="D31" i="33"/>
  <c r="F31" i="33" s="1"/>
  <c r="D28" i="33"/>
  <c r="F28" i="33" s="1"/>
  <c r="D36" i="33"/>
  <c r="F36" i="33" s="1"/>
  <c r="D33" i="33"/>
  <c r="F33" i="33" s="1"/>
  <c r="D30" i="33"/>
  <c r="F30" i="33" s="1"/>
  <c r="D38" i="33"/>
  <c r="F38" i="33" s="1"/>
  <c r="D26" i="33"/>
  <c r="D27" i="33"/>
  <c r="F27" i="33" s="1"/>
  <c r="D35" i="33"/>
  <c r="F35" i="33" s="1"/>
  <c r="M13" i="33"/>
  <c r="L13" i="33"/>
  <c r="K13" i="33"/>
  <c r="J13" i="33"/>
  <c r="I13" i="33"/>
  <c r="H13" i="33"/>
  <c r="D10" i="33"/>
  <c r="F10" i="33" s="1"/>
  <c r="D7" i="33"/>
  <c r="F7" i="33" s="1"/>
  <c r="D15" i="33"/>
  <c r="F15" i="33" s="1"/>
  <c r="D12" i="33"/>
  <c r="F12" i="33" s="1"/>
  <c r="D9" i="33"/>
  <c r="F9" i="33" s="1"/>
  <c r="D17" i="33"/>
  <c r="F17" i="33" s="1"/>
  <c r="D6" i="33"/>
  <c r="F6" i="33" s="1"/>
  <c r="D14" i="33"/>
  <c r="F14" i="33" s="1"/>
  <c r="D11" i="33"/>
  <c r="F11" i="33" s="1"/>
  <c r="D8" i="33"/>
  <c r="F8" i="33" s="1"/>
  <c r="D16" i="33"/>
  <c r="F16" i="33" s="1"/>
  <c r="M29" i="33" l="1"/>
  <c r="S29" i="33" s="1"/>
  <c r="H29" i="33"/>
  <c r="U29" i="33" s="1"/>
  <c r="J29" i="33"/>
  <c r="Q29" i="33"/>
  <c r="X29" i="33"/>
  <c r="R29" i="33"/>
  <c r="Y29" i="33"/>
  <c r="I36" i="33"/>
  <c r="H36" i="33"/>
  <c r="M36" i="33"/>
  <c r="L36" i="33"/>
  <c r="K36" i="33"/>
  <c r="J36" i="33"/>
  <c r="Q37" i="33"/>
  <c r="X37" i="33"/>
  <c r="U32" i="33"/>
  <c r="N32" i="33"/>
  <c r="M30" i="33"/>
  <c r="L30" i="33"/>
  <c r="K30" i="33"/>
  <c r="J30" i="33"/>
  <c r="I30" i="33"/>
  <c r="H30" i="33"/>
  <c r="M35" i="33"/>
  <c r="L35" i="33"/>
  <c r="K35" i="33"/>
  <c r="J35" i="33"/>
  <c r="I35" i="33"/>
  <c r="H35" i="33"/>
  <c r="J31" i="33"/>
  <c r="I31" i="33"/>
  <c r="H31" i="33"/>
  <c r="M31" i="33"/>
  <c r="L31" i="33"/>
  <c r="K31" i="33"/>
  <c r="P32" i="33"/>
  <c r="W32" i="33"/>
  <c r="H33" i="33"/>
  <c r="M33" i="33"/>
  <c r="L33" i="33"/>
  <c r="K33" i="33"/>
  <c r="J33" i="33"/>
  <c r="I33" i="33"/>
  <c r="V32" i="33"/>
  <c r="O32" i="33"/>
  <c r="M27" i="33"/>
  <c r="L27" i="33"/>
  <c r="K27" i="33"/>
  <c r="J27" i="33"/>
  <c r="I27" i="33"/>
  <c r="H27" i="33"/>
  <c r="K34" i="33"/>
  <c r="J34" i="33"/>
  <c r="I34" i="33"/>
  <c r="H34" i="33"/>
  <c r="M34" i="33"/>
  <c r="L34" i="33"/>
  <c r="Q32" i="33"/>
  <c r="X32" i="33"/>
  <c r="O37" i="33"/>
  <c r="V37" i="33"/>
  <c r="P37" i="33"/>
  <c r="W37" i="33"/>
  <c r="R37" i="33"/>
  <c r="Y37" i="33"/>
  <c r="S37" i="33"/>
  <c r="Z37" i="33"/>
  <c r="V29" i="33"/>
  <c r="O29" i="33"/>
  <c r="R32" i="33"/>
  <c r="Y32" i="33"/>
  <c r="I28" i="33"/>
  <c r="H28" i="33"/>
  <c r="M28" i="33"/>
  <c r="L28" i="33"/>
  <c r="K28" i="33"/>
  <c r="J28" i="33"/>
  <c r="M38" i="33"/>
  <c r="L38" i="33"/>
  <c r="K38" i="33"/>
  <c r="J38" i="33"/>
  <c r="I38" i="33"/>
  <c r="H38" i="33"/>
  <c r="U37" i="33"/>
  <c r="N37" i="33"/>
  <c r="P29" i="33"/>
  <c r="W29" i="33"/>
  <c r="S32" i="33"/>
  <c r="Z32" i="33"/>
  <c r="L10" i="33"/>
  <c r="K10" i="33"/>
  <c r="J10" i="33"/>
  <c r="I10" i="33"/>
  <c r="H10" i="33"/>
  <c r="M10" i="33"/>
  <c r="H14" i="33"/>
  <c r="M14" i="33"/>
  <c r="L14" i="33"/>
  <c r="K14" i="33"/>
  <c r="J14" i="33"/>
  <c r="I14" i="33"/>
  <c r="U13" i="33"/>
  <c r="N13" i="33"/>
  <c r="H6" i="33"/>
  <c r="M6" i="33"/>
  <c r="L6" i="33"/>
  <c r="K6" i="33"/>
  <c r="J6" i="33"/>
  <c r="I6" i="33"/>
  <c r="V13" i="33"/>
  <c r="O13" i="33"/>
  <c r="K7" i="33"/>
  <c r="J7" i="33"/>
  <c r="I7" i="33"/>
  <c r="H7" i="33"/>
  <c r="M7" i="33"/>
  <c r="L7" i="33"/>
  <c r="I17" i="33"/>
  <c r="H17" i="33"/>
  <c r="M17" i="33"/>
  <c r="L17" i="33"/>
  <c r="K17" i="33"/>
  <c r="J17" i="33"/>
  <c r="P13" i="33"/>
  <c r="W13" i="33"/>
  <c r="I9" i="33"/>
  <c r="H9" i="33"/>
  <c r="M9" i="33"/>
  <c r="L9" i="33"/>
  <c r="K9" i="33"/>
  <c r="J9" i="33"/>
  <c r="Q13" i="33"/>
  <c r="X13" i="33"/>
  <c r="M11" i="33"/>
  <c r="L11" i="33"/>
  <c r="K11" i="33"/>
  <c r="J11" i="33"/>
  <c r="I11" i="33"/>
  <c r="H11" i="33"/>
  <c r="J12" i="33"/>
  <c r="I12" i="33"/>
  <c r="H12" i="33"/>
  <c r="M12" i="33"/>
  <c r="L12" i="33"/>
  <c r="K12" i="33"/>
  <c r="Y13" i="33"/>
  <c r="R13" i="33"/>
  <c r="M8" i="33"/>
  <c r="L8" i="33"/>
  <c r="K8" i="33"/>
  <c r="J8" i="33"/>
  <c r="I8" i="33"/>
  <c r="H8" i="33"/>
  <c r="M16" i="33"/>
  <c r="L16" i="33"/>
  <c r="K16" i="33"/>
  <c r="J16" i="33"/>
  <c r="I16" i="33"/>
  <c r="H16" i="33"/>
  <c r="K15" i="33"/>
  <c r="J15" i="33"/>
  <c r="I15" i="33"/>
  <c r="H15" i="33"/>
  <c r="M15" i="33"/>
  <c r="L15" i="33"/>
  <c r="S13" i="33"/>
  <c r="Z13" i="33"/>
  <c r="Z29" i="33" l="1"/>
  <c r="N29" i="33"/>
  <c r="W35" i="33"/>
  <c r="P35" i="33"/>
  <c r="R31" i="33"/>
  <c r="Y31" i="33"/>
  <c r="Q35" i="33"/>
  <c r="X35" i="33"/>
  <c r="S30" i="33"/>
  <c r="Z30" i="33"/>
  <c r="Z36" i="33"/>
  <c r="S36" i="33"/>
  <c r="P28" i="33"/>
  <c r="W28" i="33"/>
  <c r="N34" i="33"/>
  <c r="U34" i="33"/>
  <c r="R27" i="33"/>
  <c r="Y27" i="33"/>
  <c r="S33" i="33"/>
  <c r="Z33" i="33"/>
  <c r="Z31" i="33"/>
  <c r="S31" i="33"/>
  <c r="R35" i="33"/>
  <c r="Y35" i="33"/>
  <c r="N36" i="33"/>
  <c r="U36" i="33"/>
  <c r="R34" i="33"/>
  <c r="Y34" i="33"/>
  <c r="X33" i="33"/>
  <c r="Q33" i="33"/>
  <c r="Q27" i="33"/>
  <c r="X27" i="33"/>
  <c r="N33" i="33"/>
  <c r="U33" i="33"/>
  <c r="O31" i="33"/>
  <c r="V31" i="33"/>
  <c r="N30" i="33"/>
  <c r="U30" i="33"/>
  <c r="W27" i="33"/>
  <c r="P27" i="33"/>
  <c r="Q31" i="33"/>
  <c r="X31" i="33"/>
  <c r="S38" i="33"/>
  <c r="Z38" i="33"/>
  <c r="O34" i="33"/>
  <c r="V34" i="33"/>
  <c r="S35" i="33"/>
  <c r="Z35" i="33"/>
  <c r="Y28" i="33"/>
  <c r="R28" i="33"/>
  <c r="O38" i="33"/>
  <c r="V38" i="33"/>
  <c r="Z28" i="33"/>
  <c r="S28" i="33"/>
  <c r="Q34" i="33"/>
  <c r="X34" i="33"/>
  <c r="P31" i="33"/>
  <c r="W31" i="33"/>
  <c r="O30" i="33"/>
  <c r="V30" i="33"/>
  <c r="R38" i="33"/>
  <c r="Y38" i="33"/>
  <c r="R30" i="33"/>
  <c r="Y30" i="33"/>
  <c r="S34" i="33"/>
  <c r="Z34" i="33"/>
  <c r="O36" i="33"/>
  <c r="V36" i="33"/>
  <c r="P34" i="33"/>
  <c r="W34" i="33"/>
  <c r="W38" i="33"/>
  <c r="P38" i="33"/>
  <c r="N28" i="33"/>
  <c r="U28" i="33"/>
  <c r="N27" i="33"/>
  <c r="U27" i="33"/>
  <c r="O33" i="33"/>
  <c r="V33" i="33"/>
  <c r="N35" i="33"/>
  <c r="U35" i="33"/>
  <c r="W30" i="33"/>
  <c r="P30" i="33"/>
  <c r="P36" i="33"/>
  <c r="W36" i="33"/>
  <c r="Y36" i="33"/>
  <c r="R36" i="33"/>
  <c r="Y33" i="33"/>
  <c r="R33" i="33"/>
  <c r="Q28" i="33"/>
  <c r="X28" i="33"/>
  <c r="S27" i="33"/>
  <c r="Z27" i="33"/>
  <c r="N31" i="33"/>
  <c r="U31" i="33"/>
  <c r="N38" i="33"/>
  <c r="U38" i="33"/>
  <c r="X38" i="33"/>
  <c r="Q38" i="33"/>
  <c r="O28" i="33"/>
  <c r="V28" i="33"/>
  <c r="V27" i="33"/>
  <c r="O27" i="33"/>
  <c r="P33" i="33"/>
  <c r="W33" i="33"/>
  <c r="V35" i="33"/>
  <c r="O35" i="33"/>
  <c r="X30" i="33"/>
  <c r="Q30" i="33"/>
  <c r="Q36" i="33"/>
  <c r="X36" i="33"/>
  <c r="P15" i="33"/>
  <c r="W15" i="33"/>
  <c r="Q12" i="33"/>
  <c r="X12" i="33"/>
  <c r="Q15" i="33"/>
  <c r="X15" i="33"/>
  <c r="V8" i="33"/>
  <c r="O8" i="33"/>
  <c r="R12" i="33"/>
  <c r="Y12" i="33"/>
  <c r="X11" i="33"/>
  <c r="Q11" i="33"/>
  <c r="Z9" i="33"/>
  <c r="S9" i="33"/>
  <c r="Z17" i="33"/>
  <c r="S17" i="33"/>
  <c r="Q7" i="33"/>
  <c r="X7" i="33"/>
  <c r="N6" i="33"/>
  <c r="U6" i="33"/>
  <c r="N14" i="33"/>
  <c r="U14" i="33"/>
  <c r="N8" i="33"/>
  <c r="U8" i="33"/>
  <c r="W11" i="33"/>
  <c r="P11" i="33"/>
  <c r="N16" i="33"/>
  <c r="U16" i="33"/>
  <c r="W8" i="33"/>
  <c r="P8" i="33"/>
  <c r="Z12" i="33"/>
  <c r="S12" i="33"/>
  <c r="R11" i="33"/>
  <c r="Y11" i="33"/>
  <c r="N9" i="33"/>
  <c r="U9" i="33"/>
  <c r="N17" i="33"/>
  <c r="U17" i="33"/>
  <c r="S10" i="33"/>
  <c r="Z10" i="33"/>
  <c r="P7" i="33"/>
  <c r="W7" i="33"/>
  <c r="S11" i="33"/>
  <c r="Z11" i="33"/>
  <c r="O17" i="33"/>
  <c r="V17" i="33"/>
  <c r="U10" i="33"/>
  <c r="N10" i="33"/>
  <c r="S6" i="33"/>
  <c r="Z6" i="33"/>
  <c r="O9" i="33"/>
  <c r="V9" i="33"/>
  <c r="R15" i="33"/>
  <c r="Y15" i="33"/>
  <c r="W16" i="33"/>
  <c r="P16" i="33"/>
  <c r="R8" i="33"/>
  <c r="Y8" i="33"/>
  <c r="O12" i="33"/>
  <c r="V12" i="33"/>
  <c r="R7" i="33"/>
  <c r="Y7" i="33"/>
  <c r="O6" i="33"/>
  <c r="V6" i="33"/>
  <c r="O14" i="33"/>
  <c r="V14" i="33"/>
  <c r="O10" i="33"/>
  <c r="V10" i="33"/>
  <c r="Y17" i="33"/>
  <c r="R17" i="33"/>
  <c r="V16" i="33"/>
  <c r="O16" i="33"/>
  <c r="Q16" i="33"/>
  <c r="X16" i="33"/>
  <c r="P12" i="33"/>
  <c r="W12" i="33"/>
  <c r="S7" i="33"/>
  <c r="Z7" i="33"/>
  <c r="P6" i="33"/>
  <c r="W6" i="33"/>
  <c r="P14" i="33"/>
  <c r="W14" i="33"/>
  <c r="P10" i="33"/>
  <c r="W10" i="33"/>
  <c r="S14" i="33"/>
  <c r="Z14" i="33"/>
  <c r="Q8" i="33"/>
  <c r="X8" i="33"/>
  <c r="N15" i="33"/>
  <c r="U15" i="33"/>
  <c r="N11" i="33"/>
  <c r="U11" i="33"/>
  <c r="P9" i="33"/>
  <c r="W9" i="33"/>
  <c r="P17" i="33"/>
  <c r="W17" i="33"/>
  <c r="N7" i="33"/>
  <c r="U7" i="33"/>
  <c r="X6" i="33"/>
  <c r="Q6" i="33"/>
  <c r="X14" i="33"/>
  <c r="Q14" i="33"/>
  <c r="Q10" i="33"/>
  <c r="X10" i="33"/>
  <c r="Y9" i="33"/>
  <c r="R9" i="33"/>
  <c r="N12" i="33"/>
  <c r="U12" i="33"/>
  <c r="S15" i="33"/>
  <c r="Z15" i="33"/>
  <c r="S8" i="33"/>
  <c r="Z8" i="33"/>
  <c r="R16" i="33"/>
  <c r="Y16" i="33"/>
  <c r="O15" i="33"/>
  <c r="V15" i="33"/>
  <c r="S16" i="33"/>
  <c r="Z16" i="33"/>
  <c r="O11" i="33"/>
  <c r="V11" i="33"/>
  <c r="Q9" i="33"/>
  <c r="X9" i="33"/>
  <c r="Q17" i="33"/>
  <c r="X17" i="33"/>
  <c r="O7" i="33"/>
  <c r="V7" i="33"/>
  <c r="Y6" i="33"/>
  <c r="R6" i="33"/>
  <c r="Y14" i="33"/>
  <c r="R14" i="33"/>
  <c r="R10" i="33"/>
  <c r="Y10" i="33"/>
  <c r="H54" i="31" l="1"/>
  <c r="H46" i="31"/>
  <c r="H42" i="31"/>
  <c r="H57" i="31"/>
  <c r="H50" i="31"/>
  <c r="H55" i="31"/>
  <c r="H51" i="31"/>
  <c r="H47" i="31"/>
  <c r="H43" i="31"/>
  <c r="H49" i="31"/>
  <c r="H52" i="31"/>
  <c r="H48" i="31"/>
  <c r="H41" i="31"/>
  <c r="H56" i="31"/>
  <c r="H44" i="31"/>
  <c r="H40" i="31"/>
  <c r="H45" i="31"/>
  <c r="H53" i="31"/>
  <c r="H37" i="31"/>
  <c r="H32" i="31"/>
  <c r="H28" i="31"/>
  <c r="H24" i="31"/>
  <c r="H20" i="31"/>
  <c r="H16" i="31"/>
  <c r="H36" i="31"/>
  <c r="H39" i="31"/>
  <c r="H35" i="31"/>
  <c r="H31" i="31"/>
  <c r="H27" i="31"/>
  <c r="H23" i="31"/>
  <c r="H19" i="31"/>
  <c r="H15" i="31"/>
  <c r="H34" i="31"/>
  <c r="H18" i="31"/>
  <c r="H38" i="31"/>
  <c r="H30" i="31"/>
  <c r="H26" i="31"/>
  <c r="H22" i="31"/>
  <c r="H14" i="31"/>
  <c r="H33" i="31"/>
  <c r="H29" i="31"/>
  <c r="H25" i="31"/>
  <c r="H21" i="31"/>
  <c r="H17" i="31"/>
  <c r="E13" i="31"/>
  <c r="G13" i="31" s="1"/>
  <c r="H3" i="31" l="1"/>
  <c r="H13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V22" authorId="0" shapeId="0" xr:uid="{F57F06A3-831B-4D63-9B29-A54F6FD935FE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50% N %0% H2O
</t>
        </r>
      </text>
    </comment>
    <comment ref="W22" authorId="0" shapeId="0" xr:uid="{D4B152DF-91DF-4BD9-9077-C01742E09552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50% N %0% H2O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N22" authorId="0" shapeId="0" xr:uid="{79B10977-52AD-44DD-B0DA-A6B4C2D13F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50% N %0% H2O
</t>
        </r>
      </text>
    </comment>
  </commentList>
</comments>
</file>

<file path=xl/sharedStrings.xml><?xml version="1.0" encoding="utf-8"?>
<sst xmlns="http://schemas.openxmlformats.org/spreadsheetml/2006/main" count="731" uniqueCount="264">
  <si>
    <t>sandy clay loam</t>
  </si>
  <si>
    <t>loam</t>
  </si>
  <si>
    <t>sandy loam</t>
  </si>
  <si>
    <t>silt loam</t>
  </si>
  <si>
    <t>loamy sand</t>
  </si>
  <si>
    <t>sand</t>
  </si>
  <si>
    <t>clay</t>
  </si>
  <si>
    <t>silty clay</t>
  </si>
  <si>
    <t>silty clay loam</t>
  </si>
  <si>
    <t>clay loam</t>
  </si>
  <si>
    <t>silt</t>
  </si>
  <si>
    <t>sabbiosa</t>
  </si>
  <si>
    <t>sabbioso-franca</t>
  </si>
  <si>
    <t>franco-sabbiosa</t>
  </si>
  <si>
    <t>franca</t>
  </si>
  <si>
    <t>franco-limosa</t>
  </si>
  <si>
    <t>franco-argillosa</t>
  </si>
  <si>
    <t>franco-sabbioso-argillosa</t>
  </si>
  <si>
    <t>argillosa</t>
  </si>
  <si>
    <t>argilloso-limosa</t>
  </si>
  <si>
    <t>franco-limoso-argillosa</t>
  </si>
  <si>
    <t>argillo-sabbiosa</t>
  </si>
  <si>
    <t>limosa</t>
  </si>
  <si>
    <t>Group_ID</t>
  </si>
  <si>
    <t>Texture_NAME</t>
  </si>
  <si>
    <t>Translate_text_NAME</t>
  </si>
  <si>
    <t>Texture_ID</t>
  </si>
  <si>
    <t>LOAM</t>
  </si>
  <si>
    <t>SAND</t>
  </si>
  <si>
    <t>sandy clay</t>
  </si>
  <si>
    <t>P1772</t>
  </si>
  <si>
    <t>P0937</t>
  </si>
  <si>
    <t>P2088</t>
  </si>
  <si>
    <t>P2105</t>
  </si>
  <si>
    <t>IBRIDO</t>
  </si>
  <si>
    <t>P1817</t>
  </si>
  <si>
    <t>P1570</t>
  </si>
  <si>
    <t>P1547</t>
  </si>
  <si>
    <t>P1454</t>
  </si>
  <si>
    <t>P1551</t>
  </si>
  <si>
    <t>P1517W</t>
  </si>
  <si>
    <t>P0943</t>
  </si>
  <si>
    <t>P1275</t>
  </si>
  <si>
    <t>P1916</t>
  </si>
  <si>
    <t>P0900</t>
  </si>
  <si>
    <t>P1028</t>
  </si>
  <si>
    <t>GRUPPO 1</t>
  </si>
  <si>
    <t>GRUPPO 2</t>
  </si>
  <si>
    <t>GRUPPO 3</t>
  </si>
  <si>
    <t>1,8&lt;OM&lt;2,2</t>
  </si>
  <si>
    <t>OM&gt; 2,2</t>
  </si>
  <si>
    <t>OM&lt;1,8</t>
  </si>
  <si>
    <t>Correzione_group</t>
  </si>
  <si>
    <t>Group_name</t>
  </si>
  <si>
    <t>HEAVY</t>
  </si>
  <si>
    <t>GROUP</t>
  </si>
  <si>
    <t>Riduzione Investimento è funzione delle risorse disponibili</t>
  </si>
  <si>
    <t>Integrated Planting Management</t>
  </si>
  <si>
    <t>Parametri che influenzano le risorse</t>
  </si>
  <si>
    <t>TESSITURA</t>
  </si>
  <si>
    <t>CONCIMAZIONE</t>
  </si>
  <si>
    <t>ACQUA</t>
  </si>
  <si>
    <t>EPOCA DI SEMINA</t>
  </si>
  <si>
    <t>Caratteristiche che influenzano l'investimento</t>
  </si>
  <si>
    <t>NDVI</t>
  </si>
  <si>
    <t>TSM</t>
  </si>
  <si>
    <t xml:space="preserve">MAPPA DI RESA </t>
  </si>
  <si>
    <t>Paramentri disponibili per la definizione di aree meno fertili/riduzione risorse</t>
  </si>
  <si>
    <t>85-100</t>
  </si>
  <si>
    <t>% sabbia</t>
  </si>
  <si>
    <t>70-85</t>
  </si>
  <si>
    <t>50-70</t>
  </si>
  <si>
    <t>50-20</t>
  </si>
  <si>
    <t>20-0</t>
  </si>
  <si>
    <t>70-100</t>
  </si>
  <si>
    <t>80-100</t>
  </si>
  <si>
    <t>60-40</t>
  </si>
  <si>
    <t>60-30</t>
  </si>
  <si>
    <t>85-45</t>
  </si>
  <si>
    <t>70-50</t>
  </si>
  <si>
    <t>Sabbia</t>
  </si>
  <si>
    <t>Limo</t>
  </si>
  <si>
    <t>Argilla</t>
  </si>
  <si>
    <t>*- 60 Q.li/ha</t>
  </si>
  <si>
    <t>*- 10 Q.li/ha</t>
  </si>
  <si>
    <t>Limo%</t>
  </si>
  <si>
    <t>Argilla%</t>
  </si>
  <si>
    <t>45-20</t>
  </si>
  <si>
    <t>Abbassare Investimento ti permette di salvare 14 Qli.ha</t>
  </si>
  <si>
    <t>In condizioni di stres mettere un investimento cautelativo ci permette di salvare l'8%</t>
  </si>
  <si>
    <t>Q.li persi passando da una condizione di stress inferiore</t>
  </si>
  <si>
    <t>Efficienza Irrigua - Capacità di campo</t>
  </si>
  <si>
    <t>% di riduzione di investimento per minimizzare lo stress</t>
  </si>
  <si>
    <t>% H2O disponibile (mm)</t>
  </si>
  <si>
    <t xml:space="preserve">h20 UTILE </t>
  </si>
  <si>
    <t>CONSIDERANDO IL 50% DELL'ACQUA DISPONIBILE L'ACQUA UTILE</t>
  </si>
  <si>
    <t>FABBISOGNO IDRICO</t>
  </si>
  <si>
    <t>SCORRIMENTO TURNO 15 gg</t>
  </si>
  <si>
    <t>SCORRIMENTO TURNO 7 gg</t>
  </si>
  <si>
    <t xml:space="preserve">Irrigazione soccorso </t>
  </si>
  <si>
    <t>N</t>
  </si>
  <si>
    <t>asportazione</t>
  </si>
  <si>
    <t>Produzione</t>
  </si>
  <si>
    <t>Q/granella secca</t>
  </si>
  <si>
    <t>ASPERSIONE 7 gg</t>
  </si>
  <si>
    <t>ASPERSIONE &lt; 4 interventi</t>
  </si>
  <si>
    <t>ASPERSIONE 1 intervento</t>
  </si>
  <si>
    <t>A</t>
  </si>
  <si>
    <t>B</t>
  </si>
  <si>
    <t>C</t>
  </si>
  <si>
    <t>D</t>
  </si>
  <si>
    <t>MANICHETTA</t>
  </si>
  <si>
    <t>NON IRRIGUO</t>
  </si>
  <si>
    <t>E</t>
  </si>
  <si>
    <t>STAGIONE</t>
  </si>
  <si>
    <t>y = -120x + 120</t>
  </si>
  <si>
    <t>Equazione</t>
  </si>
  <si>
    <t>perdine</t>
  </si>
  <si>
    <t>Kg/ha necessari</t>
  </si>
  <si>
    <t>Dobbiamo ridurre l'investimento del in caso di penalizzazione massima</t>
  </si>
  <si>
    <t>Calo dell'investimento ideale</t>
  </si>
  <si>
    <t>y = 0.42x - 0.42</t>
  </si>
  <si>
    <t>semina Anticipata (prima 10 apr)</t>
  </si>
  <si>
    <t>semina (10 apr-10 mag)</t>
  </si>
  <si>
    <t>18-20 gg</t>
  </si>
  <si>
    <t>seconda semina (&gt;10 mag)</t>
  </si>
  <si>
    <t>limo</t>
  </si>
  <si>
    <t>argilla</t>
  </si>
  <si>
    <t>Perdita Investimento Fx % Argilla</t>
  </si>
  <si>
    <t>Perdita Investimento Fx % Limo</t>
  </si>
  <si>
    <t>concia premium</t>
  </si>
  <si>
    <t>concia standard</t>
  </si>
  <si>
    <t>IBRIDI</t>
  </si>
  <si>
    <t>INVESTIMENTO IDEALE</t>
  </si>
  <si>
    <t>P1570E</t>
  </si>
  <si>
    <t>32B10</t>
  </si>
  <si>
    <t>P1565</t>
  </si>
  <si>
    <t>P1535</t>
  </si>
  <si>
    <t>P1672</t>
  </si>
  <si>
    <t>P1332</t>
  </si>
  <si>
    <t>P0937E</t>
  </si>
  <si>
    <t>P0551</t>
  </si>
  <si>
    <t>P0729</t>
  </si>
  <si>
    <t>P0848</t>
  </si>
  <si>
    <t>P1547E</t>
  </si>
  <si>
    <t>P1541</t>
  </si>
  <si>
    <t>P1096</t>
  </si>
  <si>
    <t>P1232</t>
  </si>
  <si>
    <t>P1884</t>
  </si>
  <si>
    <t>P2141</t>
  </si>
  <si>
    <t>31A34</t>
  </si>
  <si>
    <t>31Y43</t>
  </si>
  <si>
    <t>P2146EMD</t>
  </si>
  <si>
    <t>Equazione taglio N e H2O</t>
  </si>
  <si>
    <t>% volume apportato</t>
  </si>
  <si>
    <t>% volume apportato dopo lisciviazione</t>
  </si>
  <si>
    <t xml:space="preserve">Sitma perdita resa Q.li/ha granella secca </t>
  </si>
  <si>
    <t>sistemi irrigui</t>
  </si>
  <si>
    <t>asciutta</t>
  </si>
  <si>
    <t>acqua disponibile</t>
  </si>
  <si>
    <t>perdita quintali</t>
  </si>
  <si>
    <t>Relazione perdita di resa e perdita di investimento</t>
  </si>
  <si>
    <t>y =  0.0036x</t>
  </si>
  <si>
    <t xml:space="preserve">Concimazione:  unità N kg/ha </t>
  </si>
  <si>
    <t>FULL</t>
  </si>
  <si>
    <t>LIMITED</t>
  </si>
  <si>
    <t>TENIAMO COME RIFERIMENTO I VALORI MEDI DELLE 8 PIANTE SIA FULL SIA LIMITED</t>
  </si>
  <si>
    <t>MEDIA</t>
  </si>
  <si>
    <t>Perdita media di piante assenza concia</t>
  </si>
  <si>
    <t>% di incremento del valore di base</t>
  </si>
  <si>
    <t>TIPO</t>
  </si>
  <si>
    <t>GRANELLA</t>
  </si>
  <si>
    <t>TRINCIATO</t>
  </si>
  <si>
    <t>% di sabbia nel medio impasto</t>
  </si>
  <si>
    <t>% di perdite</t>
  </si>
  <si>
    <t>Q.li/trinciato TQ</t>
  </si>
  <si>
    <t>Q.li/granella secca</t>
  </si>
  <si>
    <t>Irrigazione</t>
  </si>
  <si>
    <t>Concimazione Azotata</t>
  </si>
  <si>
    <t>Tessitura</t>
  </si>
  <si>
    <t>INPUT UTENTE</t>
  </si>
  <si>
    <t>Gruppo</t>
  </si>
  <si>
    <t>Concia</t>
  </si>
  <si>
    <t xml:space="preserve">Epoca di semina </t>
  </si>
  <si>
    <t>Epoca di semina- Concia</t>
  </si>
  <si>
    <t>Epoca di semina - concia</t>
  </si>
  <si>
    <t>LumiGEN Premium</t>
  </si>
  <si>
    <t>LumiGEN Standard</t>
  </si>
  <si>
    <t>Coeff. Correzione Investimento</t>
  </si>
  <si>
    <t>Resa Attesa Granella</t>
  </si>
  <si>
    <t>Resa Attesa Trinciato</t>
  </si>
  <si>
    <t>INVESTIMENTO CORRETTO</t>
  </si>
  <si>
    <t>semina Anticipata (prima 10 apr) - LumiGEN Standard</t>
  </si>
  <si>
    <t>NDVI index</t>
  </si>
  <si>
    <t>seconda semina (&gt;10 mag) - LumiGEN Standard</t>
  </si>
  <si>
    <t>INPUT VIGIS</t>
  </si>
  <si>
    <t>31G98</t>
  </si>
  <si>
    <t>32W86</t>
  </si>
  <si>
    <t>P0304</t>
  </si>
  <si>
    <t>P0362</t>
  </si>
  <si>
    <t>P0413E</t>
  </si>
  <si>
    <t>P0423</t>
  </si>
  <si>
    <t>P0704</t>
  </si>
  <si>
    <t>P0900E</t>
  </si>
  <si>
    <t>P1049</t>
  </si>
  <si>
    <t>P2046</t>
  </si>
  <si>
    <t>P9074</t>
  </si>
  <si>
    <t>P9241</t>
  </si>
  <si>
    <t>P9363</t>
  </si>
  <si>
    <t>P9590</t>
  </si>
  <si>
    <t>P9718E</t>
  </si>
  <si>
    <t>P9889</t>
  </si>
  <si>
    <t>P9911</t>
  </si>
  <si>
    <t>Correzione</t>
  </si>
  <si>
    <t>seconda semina (&gt;10 mag) - LumiGEN Premium</t>
  </si>
  <si>
    <t>semina Anticipata (prima 10 apr) - LumiGEN Premium</t>
  </si>
  <si>
    <t>UniTà di azoto disponibili durante l'annata</t>
  </si>
  <si>
    <t>&gt;350</t>
  </si>
  <si>
    <t>P8834</t>
  </si>
  <si>
    <t>P0217</t>
  </si>
  <si>
    <t>P9361</t>
  </si>
  <si>
    <t>INVESTIMENTO IDEALE  p/mq</t>
  </si>
  <si>
    <t>IRRIGAZIONE VIGIS</t>
  </si>
  <si>
    <t>MODELLO</t>
  </si>
  <si>
    <t xml:space="preserve">CONCIA VIGIS </t>
  </si>
  <si>
    <t>DATA DI SEMINA VIGIS</t>
  </si>
  <si>
    <t xml:space="preserve">ASCIUTTA </t>
  </si>
  <si>
    <t>ALTRO GRANULARE</t>
  </si>
  <si>
    <t>&lt; 10 Aprile</t>
  </si>
  <si>
    <t>Semina Anticipata</t>
  </si>
  <si>
    <t>DRIP</t>
  </si>
  <si>
    <t>ERCOLE</t>
  </si>
  <si>
    <t>10 Aprile - 10 Maggio</t>
  </si>
  <si>
    <t>Semina standard</t>
  </si>
  <si>
    <t>DRIP-SSDI</t>
  </si>
  <si>
    <t>FORCE ULTRA</t>
  </si>
  <si>
    <t>&gt; 10 Maggio</t>
  </si>
  <si>
    <t>Seconda semina</t>
  </si>
  <si>
    <t>PIVOT-RANGER</t>
  </si>
  <si>
    <t>PREMIUM</t>
  </si>
  <si>
    <t xml:space="preserve">ROTOLONE SENZA LIMITAZIONI </t>
  </si>
  <si>
    <t>PREMIUM PLUS</t>
  </si>
  <si>
    <t>SCORRIMENTO CON LIMITAZIONI</t>
  </si>
  <si>
    <t>STANDARD</t>
  </si>
  <si>
    <t>SCORRIMENTO SETTIMANALE</t>
  </si>
  <si>
    <t>SUCCESS GR</t>
  </si>
  <si>
    <t>ROTOLONE &lt; 4 interventi</t>
  </si>
  <si>
    <t>DA AGGIUNGERE IN VIGIS AL POSTO DI ROTOLONE CON LIMITAZIONE</t>
  </si>
  <si>
    <t>NON TRATTATO</t>
  </si>
  <si>
    <t>ROTOLONE 1 intervento</t>
  </si>
  <si>
    <t>AGGIUNGERE ALL'INVESTIMENTO IDEALE</t>
  </si>
  <si>
    <t>DA TOGLIERE ALL'INVESTIMENTO IDEALE</t>
  </si>
  <si>
    <t>semina (10 apr-10 mag) - LumiGEN Premium</t>
  </si>
  <si>
    <t>semina (10 apr-10 mag) - LumiGEN Standard</t>
  </si>
  <si>
    <t>P0692</t>
  </si>
  <si>
    <t>P0920</t>
  </si>
  <si>
    <t>P1293W</t>
  </si>
  <si>
    <t>P1410</t>
  </si>
  <si>
    <t>P2183</t>
  </si>
  <si>
    <t>P8677</t>
  </si>
  <si>
    <t>P8685</t>
  </si>
  <si>
    <t>P8861</t>
  </si>
  <si>
    <t>P21416</t>
  </si>
  <si>
    <t>P15268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</si>
</sst>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59595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  <xf numFmtId="16" fontId="1" fillId="4" borderId="0" xfId="0" applyNumberFormat="1" applyFont="1" applyFill="1" applyAlignment="1">
      <alignment horizontal="right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0" xfId="1" applyFont="1"/>
    <xf numFmtId="9" fontId="0" fillId="0" borderId="0" xfId="0" applyNumberFormat="1"/>
    <xf numFmtId="0" fontId="0" fillId="0" borderId="0" xfId="0" applyAlignment="1">
      <alignment wrapText="1"/>
    </xf>
    <xf numFmtId="9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9" fontId="0" fillId="0" borderId="1" xfId="1" applyFont="1" applyBorder="1"/>
    <xf numFmtId="166" fontId="0" fillId="0" borderId="1" xfId="0" applyNumberFormat="1" applyBorder="1" applyAlignment="1">
      <alignment horizontal="center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0" xfId="1" applyFont="1" applyAlignment="1">
      <alignment horizontal="center"/>
    </xf>
    <xf numFmtId="0" fontId="5" fillId="0" borderId="0" xfId="0" applyFont="1" applyAlignment="1">
      <alignment horizontal="center" vertical="center" readingOrder="1"/>
    </xf>
    <xf numFmtId="0" fontId="0" fillId="7" borderId="0" xfId="0" applyFill="1" applyAlignment="1">
      <alignment horizontal="center"/>
    </xf>
    <xf numFmtId="1" fontId="0" fillId="0" borderId="0" xfId="1" applyNumberFormat="1" applyFont="1"/>
    <xf numFmtId="0" fontId="1" fillId="8" borderId="0" xfId="0" applyFont="1" applyFill="1" applyAlignment="1">
      <alignment horizontal="center" wrapText="1"/>
    </xf>
    <xf numFmtId="164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9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9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 wrapText="1"/>
    </xf>
    <xf numFmtId="9" fontId="0" fillId="0" borderId="1" xfId="1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0" fillId="0" borderId="12" xfId="1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9" fontId="0" fillId="0" borderId="1" xfId="0" applyNumberFormat="1" applyBorder="1"/>
    <xf numFmtId="0" fontId="0" fillId="0" borderId="7" xfId="0" applyBorder="1"/>
    <xf numFmtId="0" fontId="0" fillId="0" borderId="10" xfId="0" applyBorder="1"/>
    <xf numFmtId="0" fontId="1" fillId="0" borderId="10" xfId="0" applyFont="1" applyBorder="1" applyAlignment="1">
      <alignment horizontal="left"/>
    </xf>
    <xf numFmtId="9" fontId="0" fillId="0" borderId="11" xfId="0" applyNumberFormat="1" applyBorder="1"/>
    <xf numFmtId="0" fontId="1" fillId="0" borderId="12" xfId="0" applyFont="1" applyBorder="1" applyAlignment="1">
      <alignment horizontal="left"/>
    </xf>
    <xf numFmtId="9" fontId="0" fillId="0" borderId="13" xfId="0" applyNumberFormat="1" applyBorder="1"/>
    <xf numFmtId="9" fontId="0" fillId="0" borderId="14" xfId="0" applyNumberFormat="1" applyBorder="1"/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2" borderId="7" xfId="0" applyFont="1" applyFill="1" applyBorder="1" applyAlignment="1">
      <alignment horizontal="left"/>
    </xf>
    <xf numFmtId="9" fontId="0" fillId="2" borderId="9" xfId="0" applyNumberFormat="1" applyFill="1" applyBorder="1"/>
    <xf numFmtId="0" fontId="1" fillId="2" borderId="10" xfId="0" applyFont="1" applyFill="1" applyBorder="1" applyAlignment="1">
      <alignment horizontal="left"/>
    </xf>
    <xf numFmtId="9" fontId="0" fillId="2" borderId="11" xfId="0" applyNumberFormat="1" applyFill="1" applyBorder="1"/>
    <xf numFmtId="0" fontId="1" fillId="2" borderId="12" xfId="0" applyFont="1" applyFill="1" applyBorder="1" applyAlignment="1">
      <alignment horizontal="left"/>
    </xf>
    <xf numFmtId="9" fontId="0" fillId="2" borderId="14" xfId="0" applyNumberFormat="1" applyFill="1" applyBorder="1"/>
    <xf numFmtId="0" fontId="1" fillId="6" borderId="8" xfId="0" applyFon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9" fontId="0" fillId="4" borderId="15" xfId="0" applyNumberFormat="1" applyFill="1" applyBorder="1" applyAlignment="1">
      <alignment horizontal="center"/>
    </xf>
    <xf numFmtId="9" fontId="0" fillId="4" borderId="16" xfId="0" applyNumberFormat="1" applyFill="1" applyBorder="1" applyAlignment="1">
      <alignment horizontal="center"/>
    </xf>
    <xf numFmtId="9" fontId="0" fillId="4" borderId="17" xfId="0" applyNumberFormat="1" applyFill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18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0" fillId="4" borderId="2" xfId="0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66" fontId="0" fillId="0" borderId="10" xfId="1" applyNumberFormat="1" applyFont="1" applyBorder="1" applyAlignment="1">
      <alignment horizontal="center"/>
    </xf>
    <xf numFmtId="9" fontId="0" fillId="4" borderId="0" xfId="1" applyFont="1" applyFill="1" applyAlignment="1">
      <alignment horizontal="center" wrapText="1"/>
    </xf>
    <xf numFmtId="166" fontId="0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0" fillId="4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12" borderId="0" xfId="0" applyFill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0" fillId="12" borderId="1" xfId="0" applyFill="1" applyBorder="1"/>
    <xf numFmtId="9" fontId="0" fillId="12" borderId="1" xfId="1" applyFont="1" applyFill="1" applyBorder="1"/>
    <xf numFmtId="9" fontId="0" fillId="12" borderId="1" xfId="0" applyNumberFormat="1" applyFill="1" applyBorder="1" applyAlignment="1">
      <alignment horizontal="center"/>
    </xf>
    <xf numFmtId="0" fontId="0" fillId="12" borderId="0" xfId="0" applyFill="1"/>
    <xf numFmtId="0" fontId="8" fillId="13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1" fillId="14" borderId="23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0" fillId="1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9" fontId="0" fillId="11" borderId="1" xfId="1" applyFont="1" applyFill="1" applyBorder="1" applyAlignment="1">
      <alignment horizontal="center" wrapText="1"/>
    </xf>
    <xf numFmtId="9" fontId="0" fillId="4" borderId="1" xfId="1" applyFont="1" applyFill="1" applyBorder="1" applyAlignment="1">
      <alignment horizontal="center" wrapText="1"/>
    </xf>
    <xf numFmtId="9" fontId="0" fillId="4" borderId="6" xfId="1" applyFont="1" applyFill="1" applyBorder="1" applyAlignment="1">
      <alignment horizontal="center" wrapText="1"/>
    </xf>
    <xf numFmtId="166" fontId="0" fillId="0" borderId="6" xfId="1" applyNumberFormat="1" applyFont="1" applyBorder="1" applyAlignment="1">
      <alignment horizontal="center"/>
    </xf>
    <xf numFmtId="166" fontId="0" fillId="15" borderId="1" xfId="1" applyNumberFormat="1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11" borderId="1" xfId="0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146850393700788"/>
                  <c:y val="0.13384259259259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modello!$BC$19:$BC$20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modello!$BB$19:$BB$20</c:f>
              <c:numCache>
                <c:formatCode>0%</c:formatCode>
                <c:ptCount val="2"/>
                <c:pt idx="0">
                  <c:v>-0.21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2E-44AC-8A9E-BC407DBAA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187512"/>
        <c:axId val="971188496"/>
      </c:scatterChart>
      <c:valAx>
        <c:axId val="97118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8496"/>
        <c:crosses val="autoZero"/>
        <c:crossBetween val="midCat"/>
      </c:valAx>
      <c:valAx>
        <c:axId val="9711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7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8699409448818899"/>
                  <c:y val="-0.221373578302712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modello!$AO$41:$AO$42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modello!$AN$41:$AN$42</c:f>
              <c:numCache>
                <c:formatCode>General</c:formatCode>
                <c:ptCount val="2"/>
                <c:pt idx="0">
                  <c:v>60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6D-412B-AB10-EA8120F55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494680"/>
        <c:axId val="583824440"/>
      </c:scatterChart>
      <c:valAx>
        <c:axId val="430494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riduzione H2O</a:t>
                </a:r>
                <a:r>
                  <a:rPr lang="en-US" baseline="0"/>
                  <a:t> e 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824440"/>
        <c:crosses val="autoZero"/>
        <c:crossBetween val="midCat"/>
      </c:valAx>
      <c:valAx>
        <c:axId val="583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Q.li</a:t>
                </a:r>
                <a:r>
                  <a:rPr lang="en-US" baseline="0"/>
                  <a:t> riduzione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494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 perdita resa e investimento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8410447704728252"/>
                  <c:y val="0.143886317724222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'Irrigazione- suolo'!$AG$19:$AG$20</c:f>
              <c:numCache>
                <c:formatCode>General</c:formatCode>
                <c:ptCount val="2"/>
                <c:pt idx="0">
                  <c:v>-60</c:v>
                </c:pt>
                <c:pt idx="1">
                  <c:v>0</c:v>
                </c:pt>
              </c:numCache>
            </c:numRef>
          </c:xVal>
          <c:yVal>
            <c:numRef>
              <c:f>'Irrigazione- suolo'!$AE$19:$AE$20</c:f>
              <c:numCache>
                <c:formatCode>0%</c:formatCode>
                <c:ptCount val="2"/>
                <c:pt idx="0">
                  <c:v>-0.21428571428571427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36-4906-BED7-9058709D9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158760"/>
        <c:axId val="504159088"/>
      </c:scatterChart>
      <c:valAx>
        <c:axId val="504158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159088"/>
        <c:crosses val="autoZero"/>
        <c:crossBetween val="midCat"/>
      </c:valAx>
      <c:valAx>
        <c:axId val="50415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158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8699409448818899"/>
                  <c:y val="-0.221373578302712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modello!$AO$41:$AO$42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modello!$AN$41:$AN$42</c:f>
              <c:numCache>
                <c:formatCode>General</c:formatCode>
                <c:ptCount val="2"/>
                <c:pt idx="0">
                  <c:v>60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5C-420C-B66C-D147947B9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494680"/>
        <c:axId val="583824440"/>
      </c:scatterChart>
      <c:valAx>
        <c:axId val="430494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riduzione H2O</a:t>
                </a:r>
                <a:r>
                  <a:rPr lang="en-US" baseline="0"/>
                  <a:t> e 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824440"/>
        <c:crosses val="autoZero"/>
        <c:crossBetween val="midCat"/>
      </c:valAx>
      <c:valAx>
        <c:axId val="583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Q.li</a:t>
                </a:r>
                <a:r>
                  <a:rPr lang="en-US" baseline="0"/>
                  <a:t> riduzione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494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146850393700788"/>
                  <c:y val="0.13384259259259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modello!$BC$19:$BC$20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modello!$BB$19:$BB$20</c:f>
              <c:numCache>
                <c:formatCode>0%</c:formatCode>
                <c:ptCount val="2"/>
                <c:pt idx="0">
                  <c:v>-0.21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3B-4DEE-BE61-8EDD9984D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187512"/>
        <c:axId val="971188496"/>
      </c:scatterChart>
      <c:valAx>
        <c:axId val="97118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8496"/>
        <c:crosses val="autoZero"/>
        <c:crossBetween val="midCat"/>
      </c:valAx>
      <c:valAx>
        <c:axId val="9711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7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8699409448818899"/>
                  <c:y val="-0.221373578302712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modello!$AO$41:$AO$42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modello!$AN$41:$AN$42</c:f>
              <c:numCache>
                <c:formatCode>General</c:formatCode>
                <c:ptCount val="2"/>
                <c:pt idx="0">
                  <c:v>60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18-48F4-9C77-16B9FA4E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494680"/>
        <c:axId val="583824440"/>
      </c:scatterChart>
      <c:valAx>
        <c:axId val="430494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riduzione H2O</a:t>
                </a:r>
                <a:r>
                  <a:rPr lang="en-US" baseline="0"/>
                  <a:t> e 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824440"/>
        <c:crosses val="autoZero"/>
        <c:crossBetween val="midCat"/>
      </c:valAx>
      <c:valAx>
        <c:axId val="583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Q.li</a:t>
                </a:r>
                <a:r>
                  <a:rPr lang="en-US" baseline="0"/>
                  <a:t> riduzione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494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146850393700788"/>
                  <c:y val="0.13384259259259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modello!$BC$19:$BC$20</c:f>
              <c:numCache>
                <c:formatCode>0%</c:formatCode>
                <c:ptCount val="2"/>
                <c:pt idx="0">
                  <c:v>0.5</c:v>
                </c:pt>
                <c:pt idx="1">
                  <c:v>1</c:v>
                </c:pt>
              </c:numCache>
            </c:numRef>
          </c:xVal>
          <c:yVal>
            <c:numRef>
              <c:f>modello!$BB$19:$BB$20</c:f>
              <c:numCache>
                <c:formatCode>0%</c:formatCode>
                <c:ptCount val="2"/>
                <c:pt idx="0">
                  <c:v>-0.21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33-4795-B305-15EBB6C61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187512"/>
        <c:axId val="971188496"/>
      </c:scatterChart>
      <c:valAx>
        <c:axId val="97118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8496"/>
        <c:crosses val="autoZero"/>
        <c:crossBetween val="midCat"/>
      </c:valAx>
      <c:valAx>
        <c:axId val="9711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87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502397</xdr:colOff>
      <xdr:row>0</xdr:row>
      <xdr:rowOff>150656</xdr:rowOff>
    </xdr:from>
    <xdr:to>
      <xdr:col>6</xdr:col>
      <xdr:colOff>1327897</xdr:colOff>
      <xdr:row>8</xdr:row>
      <xdr:rowOff>83799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FDF171-4AB8-4187-B9A7-B3AAB46C1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985" y="150656"/>
          <a:ext cx="2921000" cy="14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560273</xdr:colOff>
      <xdr:row>42</xdr:row>
      <xdr:rowOff>10888</xdr:rowOff>
    </xdr:from>
    <xdr:to>
      <xdr:col>12</xdr:col>
      <xdr:colOff>664028</xdr:colOff>
      <xdr:row>62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B285C-3B76-477C-98F3-F6BF29242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857249</xdr:colOff>
      <xdr:row>41</xdr:row>
      <xdr:rowOff>176893</xdr:rowOff>
    </xdr:from>
    <xdr:to>
      <xdr:col>9</xdr:col>
      <xdr:colOff>505165</xdr:colOff>
      <xdr:row>61</xdr:row>
      <xdr:rowOff>163285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3BF24C-C4D8-4596-9555-A6EA37763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775607</xdr:colOff>
      <xdr:row>43</xdr:row>
      <xdr:rowOff>13607</xdr:rowOff>
    </xdr:from>
    <xdr:to>
      <xdr:col>47</xdr:col>
      <xdr:colOff>299354</xdr:colOff>
      <xdr:row>70</xdr:row>
      <xdr:rowOff>108857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6C905E-0F93-4EBA-8FA6-CA9A988B0F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42</xdr:row>
      <xdr:rowOff>85726</xdr:rowOff>
    </xdr:from>
    <xdr:to>
      <xdr:col>6</xdr:col>
      <xdr:colOff>533400</xdr:colOff>
      <xdr:row>60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186A24-ACD0-443F-81AC-F77BC9D67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385762</xdr:colOff>
      <xdr:row>42</xdr:row>
      <xdr:rowOff>166687</xdr:rowOff>
    </xdr:from>
    <xdr:to>
      <xdr:col>15</xdr:col>
      <xdr:colOff>80962</xdr:colOff>
      <xdr:row>52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968BCC-18CC-4533-A60A-F4B362464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800100</xdr:colOff>
      <xdr:row>44</xdr:row>
      <xdr:rowOff>138112</xdr:rowOff>
    </xdr:from>
    <xdr:to>
      <xdr:col>39</xdr:col>
      <xdr:colOff>47625</xdr:colOff>
      <xdr:row>59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9D3159-5409-48A9-BBC6-3C2F95395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395287</xdr:colOff>
      <xdr:row>26</xdr:row>
      <xdr:rowOff>52387</xdr:rowOff>
    </xdr:from>
    <xdr:to>
      <xdr:col>67</xdr:col>
      <xdr:colOff>90487</xdr:colOff>
      <xdr:row>40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5F5196-A7C5-4D4B-BF02-D82A09BDD4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3214-A4D2-438D-B3F2-6D27C8AAA20D}">
  <sheetPr>
    <tabColor rgb="FF92D050"/>
  </sheetPr>
  <dimension ref="A1:H77"/>
  <sheetViews>
    <sheetView zoomScale="85" zoomScaleNormal="85" workbookViewId="0">
      <selection activeCell="E6" sqref="E6"/>
    </sheetView>
  </sheetViews>
  <sheetFormatPr defaultRowHeight="15" x14ac:dyDescent="0.25"/>
  <cols>
    <col min="1" max="1" width="19.85546875" customWidth="1"/>
    <col min="2" max="2" width="22.7109375" customWidth="1"/>
    <col min="3" max="4" width="41.140625" style="7" customWidth="1"/>
    <col min="5" max="5" width="20.85546875" style="7" customWidth="1"/>
    <col min="6" max="6" width="31.42578125" style="7" customWidth="1"/>
    <col min="7" max="7" width="29.42578125" style="7" customWidth="1"/>
    <col min="8" max="8" width="25.85546875" style="7" customWidth="1"/>
  </cols>
  <sheetData>
    <row r="1" spans="1:8" x14ac:dyDescent="0.25">
      <c r="A1" s="7" t="s">
        <v>195</v>
      </c>
      <c r="B1" s="7"/>
      <c r="C1" s="7" t="s">
        <v>180</v>
      </c>
    </row>
    <row r="2" spans="1:8" x14ac:dyDescent="0.25">
      <c r="A2" s="10" t="s">
        <v>179</v>
      </c>
      <c r="B2" s="7" t="s">
        <v>15</v>
      </c>
      <c r="C2" s="10" t="s">
        <v>184</v>
      </c>
      <c r="D2" s="7" t="s">
        <v>215</v>
      </c>
      <c r="H2" s="7" t="s">
        <v>213</v>
      </c>
    </row>
    <row r="3" spans="1:8" x14ac:dyDescent="0.25">
      <c r="A3" s="10" t="s">
        <v>64</v>
      </c>
      <c r="B3" s="7">
        <v>0.4</v>
      </c>
      <c r="C3" s="10" t="s">
        <v>177</v>
      </c>
      <c r="D3" s="7" t="s">
        <v>104</v>
      </c>
      <c r="H3" s="91">
        <f>G13</f>
        <v>2.9680911680911685E-2</v>
      </c>
    </row>
    <row r="4" spans="1:8" x14ac:dyDescent="0.25">
      <c r="A4" s="7"/>
      <c r="B4" s="7"/>
      <c r="C4" s="10" t="s">
        <v>178</v>
      </c>
      <c r="D4" s="7">
        <v>300</v>
      </c>
    </row>
    <row r="5" spans="1:8" x14ac:dyDescent="0.25">
      <c r="C5" s="10" t="s">
        <v>189</v>
      </c>
      <c r="D5" s="7">
        <v>100</v>
      </c>
    </row>
    <row r="6" spans="1:8" x14ac:dyDescent="0.25">
      <c r="C6" s="10" t="s">
        <v>190</v>
      </c>
      <c r="D6" s="7">
        <v>875</v>
      </c>
    </row>
    <row r="10" spans="1:8" x14ac:dyDescent="0.25">
      <c r="G10" s="92"/>
    </row>
    <row r="11" spans="1:8" ht="15.75" thickBot="1" x14ac:dyDescent="0.3"/>
    <row r="12" spans="1:8" x14ac:dyDescent="0.25">
      <c r="A12" s="101" t="s">
        <v>170</v>
      </c>
      <c r="B12" s="102" t="s">
        <v>132</v>
      </c>
      <c r="C12" s="103" t="s">
        <v>133</v>
      </c>
      <c r="D12" s="104" t="s">
        <v>177</v>
      </c>
      <c r="E12" s="104" t="s">
        <v>178</v>
      </c>
      <c r="F12" s="105" t="s">
        <v>184</v>
      </c>
      <c r="G12" s="106" t="s">
        <v>188</v>
      </c>
      <c r="H12" s="107" t="s">
        <v>191</v>
      </c>
    </row>
    <row r="13" spans="1:8" x14ac:dyDescent="0.25">
      <c r="A13" s="36"/>
      <c r="B13" s="99">
        <v>3235</v>
      </c>
      <c r="C13" s="100">
        <v>7.8</v>
      </c>
      <c r="D13" s="89">
        <f>VLOOKUP($B$2,'Irrigazione- suolo'!$B$24:$AK$35,HLOOKUP(VLOOKUP($D$3,Tabelle!$B$4:$C$10,2,FALSE),'Irrigazione- suolo'!$AD$22:$AK$37,16,FALSE),FALSE)</f>
        <v>-1.6615384615384615E-2</v>
      </c>
      <c r="E13" s="89">
        <f>VLOOKUP($B$2,'azoto-suolo'!$A$6:$Z$17,HLOOKUP($D$4,'azoto-suolo'!$U$5:$Z$19,15,FALSE),FALSE)</f>
        <v>0</v>
      </c>
      <c r="F13" s="89">
        <f>VLOOKUP($B$2,'semina-suolo'!$B$25:$R$36,HLOOKUP($D$2,'semina-suolo'!$M$22:$R$38,17,FALSE),FALSE)</f>
        <v>4.6296296296296301E-2</v>
      </c>
      <c r="G13" s="17">
        <f>SUM(F13,MIN(D13:E13))</f>
        <v>2.9680911680911685E-2</v>
      </c>
      <c r="H13" s="15">
        <f>IF(SUM(C13,(C13*G13))&lt;6.5,6.5,IF(SUM(C13,(C13*G13))&gt;10,10,(SUM(C13,(C13*G13)))))</f>
        <v>8.0315111111111115</v>
      </c>
    </row>
    <row r="14" spans="1:8" x14ac:dyDescent="0.25">
      <c r="A14" s="36"/>
      <c r="B14" s="99" t="s">
        <v>135</v>
      </c>
      <c r="C14" s="100">
        <v>7.8</v>
      </c>
      <c r="D14" s="89">
        <f>VLOOKUP($B$2,'Irrigazione- suolo'!$B$24:$AK$35,HLOOKUP(VLOOKUP($D$3,Tabelle!$B$4:$C$10,2,FALSE),'Irrigazione- suolo'!$AD$22:$AK$37,16,FALSE),FALSE)</f>
        <v>-1.6615384615384615E-2</v>
      </c>
      <c r="E14" s="89">
        <f>VLOOKUP($B$2,'azoto-suolo'!$A$6:$Z$17,HLOOKUP($D$4,'azoto-suolo'!$U$5:$Z$19,15,FALSE),FALSE)</f>
        <v>0</v>
      </c>
      <c r="F14" s="89">
        <f>VLOOKUP($B$2,'semina-suolo'!$B$25:$R$36,HLOOKUP($D$2,'semina-suolo'!$M$22:$R$38,17,FALSE),FALSE)</f>
        <v>4.6296296296296301E-2</v>
      </c>
      <c r="G14" s="17">
        <f t="shared" ref="G14:G77" si="0">SUM(F14,MIN(D14:E14))</f>
        <v>2.9680911680911685E-2</v>
      </c>
      <c r="H14" s="15">
        <f t="shared" ref="H14:H57" si="1">IF(SUM(C14,(C14*G14))&lt;6.5,6.5,IF(SUM(C14,(C14*G14))&gt;10,10,(SUM(C14,(C14*G14)))))</f>
        <v>8.0315111111111115</v>
      </c>
    </row>
    <row r="15" spans="1:8" x14ac:dyDescent="0.25">
      <c r="A15" s="36"/>
      <c r="B15" s="99" t="s">
        <v>197</v>
      </c>
      <c r="C15" s="100">
        <v>7.5</v>
      </c>
      <c r="D15" s="89">
        <f>VLOOKUP($B$2,'Irrigazione- suolo'!$B$24:$AK$35,HLOOKUP(VLOOKUP($D$3,Tabelle!$B$4:$C$10,2,FALSE),'Irrigazione- suolo'!$AD$22:$AK$37,16,FALSE),FALSE)</f>
        <v>-1.6615384615384615E-2</v>
      </c>
      <c r="E15" s="89">
        <f>VLOOKUP($B$2,'azoto-suolo'!$A$6:$Z$17,HLOOKUP($D$4,'azoto-suolo'!$U$5:$Z$19,15,FALSE),FALSE)</f>
        <v>0</v>
      </c>
      <c r="F15" s="89">
        <f>VLOOKUP($B$2,'semina-suolo'!$B$25:$R$36,HLOOKUP($D$2,'semina-suolo'!$M$22:$R$38,17,FALSE),FALSE)</f>
        <v>4.6296296296296301E-2</v>
      </c>
      <c r="G15" s="17">
        <f t="shared" si="0"/>
        <v>2.9680911680911685E-2</v>
      </c>
      <c r="H15" s="15">
        <f t="shared" si="1"/>
        <v>7.722606837606838</v>
      </c>
    </row>
    <row r="16" spans="1:8" x14ac:dyDescent="0.25">
      <c r="A16" s="36"/>
      <c r="B16" s="99" t="s">
        <v>219</v>
      </c>
      <c r="C16" s="100">
        <v>8.3000000000000007</v>
      </c>
      <c r="D16" s="89">
        <f>VLOOKUP($B$2,'Irrigazione- suolo'!$B$24:$AK$35,HLOOKUP(VLOOKUP($D$3,Tabelle!$B$4:$C$10,2,FALSE),'Irrigazione- suolo'!$AD$22:$AK$37,16,FALSE),FALSE)</f>
        <v>-1.6615384615384615E-2</v>
      </c>
      <c r="E16" s="89">
        <f>VLOOKUP($B$2,'azoto-suolo'!$A$6:$Z$17,HLOOKUP($D$4,'azoto-suolo'!$U$5:$Z$19,15,FALSE),FALSE)</f>
        <v>0</v>
      </c>
      <c r="F16" s="89">
        <f>VLOOKUP($B$2,'semina-suolo'!$B$25:$R$36,HLOOKUP($D$2,'semina-suolo'!$M$22:$R$38,17,FALSE),FALSE)</f>
        <v>4.6296296296296301E-2</v>
      </c>
      <c r="G16" s="17">
        <f t="shared" si="0"/>
        <v>2.9680911680911685E-2</v>
      </c>
      <c r="H16" s="15">
        <f t="shared" si="1"/>
        <v>8.5463515669515679</v>
      </c>
    </row>
    <row r="17" spans="1:8" x14ac:dyDescent="0.25">
      <c r="A17" s="36"/>
      <c r="B17" s="99" t="s">
        <v>198</v>
      </c>
      <c r="C17" s="100">
        <v>7.8</v>
      </c>
      <c r="D17" s="89">
        <f>VLOOKUP($B$2,'Irrigazione- suolo'!$B$24:$AK$35,HLOOKUP(VLOOKUP($D$3,Tabelle!$B$4:$C$10,2,FALSE),'Irrigazione- suolo'!$AD$22:$AK$37,16,FALSE),FALSE)</f>
        <v>-1.6615384615384615E-2</v>
      </c>
      <c r="E17" s="89">
        <f>VLOOKUP($B$2,'azoto-suolo'!$A$6:$Z$17,HLOOKUP($D$4,'azoto-suolo'!$U$5:$Z$19,15,FALSE),FALSE)</f>
        <v>0</v>
      </c>
      <c r="F17" s="89">
        <f>VLOOKUP($B$2,'semina-suolo'!$B$25:$R$36,HLOOKUP($D$2,'semina-suolo'!$M$22:$R$38,17,FALSE),FALSE)</f>
        <v>4.6296296296296301E-2</v>
      </c>
      <c r="G17" s="17">
        <f t="shared" si="0"/>
        <v>2.9680911680911685E-2</v>
      </c>
      <c r="H17" s="15">
        <f t="shared" si="1"/>
        <v>8.0315111111111115</v>
      </c>
    </row>
    <row r="18" spans="1:8" x14ac:dyDescent="0.25">
      <c r="A18" s="36"/>
      <c r="B18" s="99" t="s">
        <v>199</v>
      </c>
      <c r="C18" s="100">
        <v>8.4</v>
      </c>
      <c r="D18" s="89">
        <f>VLOOKUP($B$2,'Irrigazione- suolo'!$B$24:$AK$35,HLOOKUP(VLOOKUP($D$3,Tabelle!$B$4:$C$10,2,FALSE),'Irrigazione- suolo'!$AD$22:$AK$37,16,FALSE),FALSE)</f>
        <v>-1.6615384615384615E-2</v>
      </c>
      <c r="E18" s="89">
        <f>VLOOKUP($B$2,'azoto-suolo'!$A$6:$Z$17,HLOOKUP($D$4,'azoto-suolo'!$U$5:$Z$19,15,FALSE),FALSE)</f>
        <v>0</v>
      </c>
      <c r="F18" s="89">
        <f>VLOOKUP($B$2,'semina-suolo'!$B$25:$R$36,HLOOKUP($D$2,'semina-suolo'!$M$22:$R$38,17,FALSE),FALSE)</f>
        <v>4.6296296296296301E-2</v>
      </c>
      <c r="G18" s="17">
        <f t="shared" si="0"/>
        <v>2.9680911680911685E-2</v>
      </c>
      <c r="H18" s="15">
        <f t="shared" si="1"/>
        <v>8.6493196581196585</v>
      </c>
    </row>
    <row r="19" spans="1:8" x14ac:dyDescent="0.25">
      <c r="A19" s="36"/>
      <c r="B19" s="99" t="s">
        <v>200</v>
      </c>
      <c r="C19" s="100">
        <v>7.8</v>
      </c>
      <c r="D19" s="89">
        <f>VLOOKUP($B$2,'Irrigazione- suolo'!$B$24:$AK$35,HLOOKUP(VLOOKUP($D$3,Tabelle!$B$4:$C$10,2,FALSE),'Irrigazione- suolo'!$AD$22:$AK$37,16,FALSE),FALSE)</f>
        <v>-1.6615384615384615E-2</v>
      </c>
      <c r="E19" s="89">
        <f>VLOOKUP($B$2,'azoto-suolo'!$A$6:$Z$17,HLOOKUP($D$4,'azoto-suolo'!$U$5:$Z$19,15,FALSE),FALSE)</f>
        <v>0</v>
      </c>
      <c r="F19" s="89">
        <f>VLOOKUP($B$2,'semina-suolo'!$B$25:$R$36,HLOOKUP($D$2,'semina-suolo'!$M$22:$R$38,17,FALSE),FALSE)</f>
        <v>4.6296296296296301E-2</v>
      </c>
      <c r="G19" s="17">
        <f t="shared" si="0"/>
        <v>2.9680911680911685E-2</v>
      </c>
      <c r="H19" s="15">
        <f t="shared" si="1"/>
        <v>8.0315111111111115</v>
      </c>
    </row>
    <row r="20" spans="1:8" x14ac:dyDescent="0.25">
      <c r="A20" s="36"/>
      <c r="B20" s="99" t="s">
        <v>201</v>
      </c>
      <c r="C20" s="100">
        <v>8.1</v>
      </c>
      <c r="D20" s="89">
        <f>VLOOKUP($B$2,'Irrigazione- suolo'!$B$24:$AK$35,HLOOKUP(VLOOKUP($D$3,Tabelle!$B$4:$C$10,2,FALSE),'Irrigazione- suolo'!$AD$22:$AK$37,16,FALSE),FALSE)</f>
        <v>-1.6615384615384615E-2</v>
      </c>
      <c r="E20" s="89">
        <f>VLOOKUP($B$2,'azoto-suolo'!$A$6:$Z$17,HLOOKUP($D$4,'azoto-suolo'!$U$5:$Z$19,15,FALSE),FALSE)</f>
        <v>0</v>
      </c>
      <c r="F20" s="89">
        <f>VLOOKUP($B$2,'semina-suolo'!$B$25:$R$36,HLOOKUP($D$2,'semina-suolo'!$M$22:$R$38,17,FALSE),FALSE)</f>
        <v>4.6296296296296301E-2</v>
      </c>
      <c r="G20" s="17">
        <f t="shared" si="0"/>
        <v>2.9680911680911685E-2</v>
      </c>
      <c r="H20" s="15">
        <f t="shared" si="1"/>
        <v>8.340415384615385</v>
      </c>
    </row>
    <row r="21" spans="1:8" x14ac:dyDescent="0.25">
      <c r="A21" s="36"/>
      <c r="B21" s="99" t="s">
        <v>141</v>
      </c>
      <c r="C21" s="100">
        <v>8.9</v>
      </c>
      <c r="D21" s="89">
        <f>VLOOKUP($B$2,'Irrigazione- suolo'!$B$24:$AK$35,HLOOKUP(VLOOKUP($D$3,Tabelle!$B$4:$C$10,2,FALSE),'Irrigazione- suolo'!$AD$22:$AK$37,16,FALSE),FALSE)</f>
        <v>-1.6615384615384615E-2</v>
      </c>
      <c r="E21" s="89">
        <f>VLOOKUP($B$2,'azoto-suolo'!$A$6:$Z$17,HLOOKUP($D$4,'azoto-suolo'!$U$5:$Z$19,15,FALSE),FALSE)</f>
        <v>0</v>
      </c>
      <c r="F21" s="89">
        <f>VLOOKUP($B$2,'semina-suolo'!$B$25:$R$36,HLOOKUP($D$2,'semina-suolo'!$M$22:$R$38,17,FALSE),FALSE)</f>
        <v>4.6296296296296301E-2</v>
      </c>
      <c r="G21" s="17">
        <f t="shared" si="0"/>
        <v>2.9680911680911685E-2</v>
      </c>
      <c r="H21" s="15">
        <f t="shared" si="1"/>
        <v>9.164160113960115</v>
      </c>
    </row>
    <row r="22" spans="1:8" x14ac:dyDescent="0.25">
      <c r="A22" s="36"/>
      <c r="B22" s="99" t="s">
        <v>254</v>
      </c>
      <c r="C22" s="100">
        <v>7.8</v>
      </c>
      <c r="D22" s="89">
        <f>VLOOKUP($B$2,'Irrigazione- suolo'!$B$24:$AK$35,HLOOKUP(VLOOKUP($D$3,Tabelle!$B$4:$C$10,2,FALSE),'Irrigazione- suolo'!$AD$22:$AK$37,16,FALSE),FALSE)</f>
        <v>-1.6615384615384615E-2</v>
      </c>
      <c r="E22" s="89">
        <f>VLOOKUP($B$2,'azoto-suolo'!$A$6:$Z$17,HLOOKUP($D$4,'azoto-suolo'!$U$5:$Z$19,15,FALSE),FALSE)</f>
        <v>0</v>
      </c>
      <c r="F22" s="89">
        <f>VLOOKUP($B$2,'semina-suolo'!$B$25:$R$36,HLOOKUP($D$2,'semina-suolo'!$M$22:$R$38,17,FALSE),FALSE)</f>
        <v>4.6296296296296301E-2</v>
      </c>
      <c r="G22" s="17">
        <f t="shared" si="0"/>
        <v>2.9680911680911685E-2</v>
      </c>
      <c r="H22" s="15">
        <f t="shared" si="1"/>
        <v>8.0315111111111115</v>
      </c>
    </row>
    <row r="23" spans="1:8" x14ac:dyDescent="0.25">
      <c r="A23" s="36"/>
      <c r="B23" s="99" t="s">
        <v>202</v>
      </c>
      <c r="C23" s="100">
        <v>8.1999999999999993</v>
      </c>
      <c r="D23" s="89">
        <f>VLOOKUP($B$2,'Irrigazione- suolo'!$B$24:$AK$35,HLOOKUP(VLOOKUP($D$3,Tabelle!$B$4:$C$10,2,FALSE),'Irrigazione- suolo'!$AD$22:$AK$37,16,FALSE),FALSE)</f>
        <v>-1.6615384615384615E-2</v>
      </c>
      <c r="E23" s="89">
        <f>VLOOKUP($B$2,'azoto-suolo'!$A$6:$Z$17,HLOOKUP($D$4,'azoto-suolo'!$U$5:$Z$19,15,FALSE),FALSE)</f>
        <v>0</v>
      </c>
      <c r="F23" s="89">
        <f>VLOOKUP($B$2,'semina-suolo'!$B$25:$R$36,HLOOKUP($D$2,'semina-suolo'!$M$22:$R$38,17,FALSE),FALSE)</f>
        <v>4.6296296296296301E-2</v>
      </c>
      <c r="G23" s="17">
        <f t="shared" si="0"/>
        <v>2.9680911680911685E-2</v>
      </c>
      <c r="H23" s="15">
        <f t="shared" si="1"/>
        <v>8.4433834757834756</v>
      </c>
    </row>
    <row r="24" spans="1:8" x14ac:dyDescent="0.25">
      <c r="A24" s="36"/>
      <c r="B24" s="99" t="s">
        <v>142</v>
      </c>
      <c r="C24" s="100">
        <v>8.6</v>
      </c>
      <c r="D24" s="89">
        <f>VLOOKUP($B$2,'Irrigazione- suolo'!$B$24:$AK$35,HLOOKUP(VLOOKUP($D$3,Tabelle!$B$4:$C$10,2,FALSE),'Irrigazione- suolo'!$AD$22:$AK$37,16,FALSE),FALSE)</f>
        <v>-1.6615384615384615E-2</v>
      </c>
      <c r="E24" s="89">
        <f>VLOOKUP($B$2,'azoto-suolo'!$A$6:$Z$17,HLOOKUP($D$4,'azoto-suolo'!$U$5:$Z$19,15,FALSE),FALSE)</f>
        <v>0</v>
      </c>
      <c r="F24" s="89">
        <f>VLOOKUP($B$2,'semina-suolo'!$B$25:$R$36,HLOOKUP($D$2,'semina-suolo'!$M$22:$R$38,17,FALSE),FALSE)</f>
        <v>4.6296296296296301E-2</v>
      </c>
      <c r="G24" s="17">
        <f t="shared" si="0"/>
        <v>2.9680911680911685E-2</v>
      </c>
      <c r="H24" s="15">
        <f t="shared" si="1"/>
        <v>8.8552558404558397</v>
      </c>
    </row>
    <row r="25" spans="1:8" x14ac:dyDescent="0.25">
      <c r="A25" s="36"/>
      <c r="B25" s="99" t="s">
        <v>143</v>
      </c>
      <c r="C25" s="100">
        <v>7.9</v>
      </c>
      <c r="D25" s="89">
        <f>VLOOKUP($B$2,'Irrigazione- suolo'!$B$24:$AK$35,HLOOKUP(VLOOKUP($D$3,Tabelle!$B$4:$C$10,2,FALSE),'Irrigazione- suolo'!$AD$22:$AK$37,16,FALSE),FALSE)</f>
        <v>-1.6615384615384615E-2</v>
      </c>
      <c r="E25" s="89">
        <f>VLOOKUP($B$2,'azoto-suolo'!$A$6:$Z$17,HLOOKUP($D$4,'azoto-suolo'!$U$5:$Z$19,15,FALSE),FALSE)</f>
        <v>0</v>
      </c>
      <c r="F25" s="89">
        <f>VLOOKUP($B$2,'semina-suolo'!$B$25:$R$36,HLOOKUP($D$2,'semina-suolo'!$M$22:$R$38,17,FALSE),FALSE)</f>
        <v>4.6296296296296301E-2</v>
      </c>
      <c r="G25" s="17">
        <f t="shared" si="0"/>
        <v>2.9680911680911685E-2</v>
      </c>
      <c r="H25" s="15">
        <f t="shared" si="1"/>
        <v>8.1344792022792021</v>
      </c>
    </row>
    <row r="26" spans="1:8" x14ac:dyDescent="0.25">
      <c r="A26" s="36"/>
      <c r="B26" s="99" t="s">
        <v>44</v>
      </c>
      <c r="C26" s="100">
        <v>8.3000000000000007</v>
      </c>
      <c r="D26" s="89">
        <f>VLOOKUP($B$2,'Irrigazione- suolo'!$B$24:$AK$35,HLOOKUP(VLOOKUP($D$3,Tabelle!$B$4:$C$10,2,FALSE),'Irrigazione- suolo'!$AD$22:$AK$37,16,FALSE),FALSE)</f>
        <v>-1.6615384615384615E-2</v>
      </c>
      <c r="E26" s="89">
        <f>VLOOKUP($B$2,'azoto-suolo'!$A$6:$Z$17,HLOOKUP($D$4,'azoto-suolo'!$U$5:$Z$19,15,FALSE),FALSE)</f>
        <v>0</v>
      </c>
      <c r="F26" s="89">
        <f>VLOOKUP($B$2,'semina-suolo'!$B$25:$R$36,HLOOKUP($D$2,'semina-suolo'!$M$22:$R$38,17,FALSE),FALSE)</f>
        <v>4.6296296296296301E-2</v>
      </c>
      <c r="G26" s="17">
        <f t="shared" si="0"/>
        <v>2.9680911680911685E-2</v>
      </c>
      <c r="H26" s="15">
        <f t="shared" si="1"/>
        <v>8.5463515669515679</v>
      </c>
    </row>
    <row r="27" spans="1:8" x14ac:dyDescent="0.25">
      <c r="A27" s="36"/>
      <c r="B27" s="99" t="s">
        <v>203</v>
      </c>
      <c r="C27" s="100">
        <v>8.6</v>
      </c>
      <c r="D27" s="89">
        <f>VLOOKUP($B$2,'Irrigazione- suolo'!$B$24:$AK$35,HLOOKUP(VLOOKUP($D$3,Tabelle!$B$4:$C$10,2,FALSE),'Irrigazione- suolo'!$AD$22:$AK$37,16,FALSE),FALSE)</f>
        <v>-1.6615384615384615E-2</v>
      </c>
      <c r="E27" s="89">
        <f>VLOOKUP($B$2,'azoto-suolo'!$A$6:$Z$17,HLOOKUP($D$4,'azoto-suolo'!$U$5:$Z$19,15,FALSE),FALSE)</f>
        <v>0</v>
      </c>
      <c r="F27" s="89">
        <f>VLOOKUP($B$2,'semina-suolo'!$B$25:$R$36,HLOOKUP($D$2,'semina-suolo'!$M$22:$R$38,17,FALSE),FALSE)</f>
        <v>4.6296296296296301E-2</v>
      </c>
      <c r="G27" s="17">
        <f t="shared" si="0"/>
        <v>2.9680911680911685E-2</v>
      </c>
      <c r="H27" s="15">
        <f t="shared" si="1"/>
        <v>8.8552558404558397</v>
      </c>
    </row>
    <row r="28" spans="1:8" x14ac:dyDescent="0.25">
      <c r="A28" s="36"/>
      <c r="B28" s="99" t="s">
        <v>255</v>
      </c>
      <c r="C28" s="100">
        <v>8.5</v>
      </c>
      <c r="D28" s="89">
        <f>VLOOKUP($B$2,'Irrigazione- suolo'!$B$24:$AK$35,HLOOKUP(VLOOKUP($D$3,Tabelle!$B$4:$C$10,2,FALSE),'Irrigazione- suolo'!$AD$22:$AK$37,16,FALSE),FALSE)</f>
        <v>-1.6615384615384615E-2</v>
      </c>
      <c r="E28" s="89">
        <f>VLOOKUP($B$2,'azoto-suolo'!$A$6:$Z$17,HLOOKUP($D$4,'azoto-suolo'!$U$5:$Z$19,15,FALSE),FALSE)</f>
        <v>0</v>
      </c>
      <c r="F28" s="89">
        <f>VLOOKUP($B$2,'semina-suolo'!$B$25:$R$36,HLOOKUP($D$2,'semina-suolo'!$M$22:$R$38,17,FALSE),FALSE)</f>
        <v>4.6296296296296301E-2</v>
      </c>
      <c r="G28" s="17">
        <f t="shared" si="0"/>
        <v>2.9680911680911685E-2</v>
      </c>
      <c r="H28" s="15">
        <f t="shared" si="1"/>
        <v>8.7522877492877491</v>
      </c>
    </row>
    <row r="29" spans="1:8" x14ac:dyDescent="0.25">
      <c r="A29" s="36"/>
      <c r="B29" s="99" t="s">
        <v>31</v>
      </c>
      <c r="C29" s="100">
        <v>8.1</v>
      </c>
      <c r="D29" s="89">
        <f>VLOOKUP($B$2,'Irrigazione- suolo'!$B$24:$AK$35,HLOOKUP(VLOOKUP($D$3,Tabelle!$B$4:$C$10,2,FALSE),'Irrigazione- suolo'!$AD$22:$AK$37,16,FALSE),FALSE)</f>
        <v>-1.6615384615384615E-2</v>
      </c>
      <c r="E29" s="89">
        <f>VLOOKUP($B$2,'azoto-suolo'!$A$6:$Z$17,HLOOKUP($D$4,'azoto-suolo'!$U$5:$Z$19,15,FALSE),FALSE)</f>
        <v>0</v>
      </c>
      <c r="F29" s="89">
        <f>VLOOKUP($B$2,'semina-suolo'!$B$25:$R$36,HLOOKUP($D$2,'semina-suolo'!$M$22:$R$38,17,FALSE),FALSE)</f>
        <v>4.6296296296296301E-2</v>
      </c>
      <c r="G29" s="17">
        <f t="shared" si="0"/>
        <v>2.9680911680911685E-2</v>
      </c>
      <c r="H29" s="15">
        <f t="shared" si="1"/>
        <v>8.340415384615385</v>
      </c>
    </row>
    <row r="30" spans="1:8" x14ac:dyDescent="0.25">
      <c r="A30" s="36"/>
      <c r="B30" s="99" t="s">
        <v>140</v>
      </c>
      <c r="C30" s="100">
        <v>8.1</v>
      </c>
      <c r="D30" s="89">
        <f>VLOOKUP($B$2,'Irrigazione- suolo'!$B$24:$AK$35,HLOOKUP(VLOOKUP($D$3,Tabelle!$B$4:$C$10,2,FALSE),'Irrigazione- suolo'!$AD$22:$AK$37,16,FALSE),FALSE)</f>
        <v>-1.6615384615384615E-2</v>
      </c>
      <c r="E30" s="89">
        <f>VLOOKUP($B$2,'azoto-suolo'!$A$6:$Z$17,HLOOKUP($D$4,'azoto-suolo'!$U$5:$Z$19,15,FALSE),FALSE)</f>
        <v>0</v>
      </c>
      <c r="F30" s="89">
        <f>VLOOKUP($B$2,'semina-suolo'!$B$25:$R$36,HLOOKUP($D$2,'semina-suolo'!$M$22:$R$38,17,FALSE),FALSE)</f>
        <v>4.6296296296296301E-2</v>
      </c>
      <c r="G30" s="17">
        <f t="shared" si="0"/>
        <v>2.9680911680911685E-2</v>
      </c>
      <c r="H30" s="15">
        <f t="shared" si="1"/>
        <v>8.340415384615385</v>
      </c>
    </row>
    <row r="31" spans="1:8" x14ac:dyDescent="0.25">
      <c r="A31" s="36"/>
      <c r="B31" s="99" t="s">
        <v>41</v>
      </c>
      <c r="C31" s="100">
        <v>8.4</v>
      </c>
      <c r="D31" s="89">
        <f>VLOOKUP($B$2,'Irrigazione- suolo'!$B$24:$AK$35,HLOOKUP(VLOOKUP($D$3,Tabelle!$B$4:$C$10,2,FALSE),'Irrigazione- suolo'!$AD$22:$AK$37,16,FALSE),FALSE)</f>
        <v>-1.6615384615384615E-2</v>
      </c>
      <c r="E31" s="89">
        <f>VLOOKUP($B$2,'azoto-suolo'!$A$6:$Z$17,HLOOKUP($D$4,'azoto-suolo'!$U$5:$Z$19,15,FALSE),FALSE)</f>
        <v>0</v>
      </c>
      <c r="F31" s="89">
        <f>VLOOKUP($B$2,'semina-suolo'!$B$25:$R$36,HLOOKUP($D$2,'semina-suolo'!$M$22:$R$38,17,FALSE),FALSE)</f>
        <v>4.6296296296296301E-2</v>
      </c>
      <c r="G31" s="17">
        <f t="shared" si="0"/>
        <v>2.9680911680911685E-2</v>
      </c>
      <c r="H31" s="15">
        <f t="shared" si="1"/>
        <v>8.6493196581196585</v>
      </c>
    </row>
    <row r="32" spans="1:8" x14ac:dyDescent="0.25">
      <c r="A32" s="36"/>
      <c r="B32" s="99" t="s">
        <v>45</v>
      </c>
      <c r="C32" s="100">
        <v>8.3000000000000007</v>
      </c>
      <c r="D32" s="89">
        <f>VLOOKUP($B$2,'Irrigazione- suolo'!$B$24:$AK$35,HLOOKUP(VLOOKUP($D$3,Tabelle!$B$4:$C$10,2,FALSE),'Irrigazione- suolo'!$AD$22:$AK$37,16,FALSE),FALSE)</f>
        <v>-1.6615384615384615E-2</v>
      </c>
      <c r="E32" s="89">
        <f>VLOOKUP($B$2,'azoto-suolo'!$A$6:$Z$17,HLOOKUP($D$4,'azoto-suolo'!$U$5:$Z$19,15,FALSE),FALSE)</f>
        <v>0</v>
      </c>
      <c r="F32" s="89">
        <f>VLOOKUP($B$2,'semina-suolo'!$B$25:$R$36,HLOOKUP($D$2,'semina-suolo'!$M$22:$R$38,17,FALSE),FALSE)</f>
        <v>4.6296296296296301E-2</v>
      </c>
      <c r="G32" s="17">
        <f t="shared" si="0"/>
        <v>2.9680911680911685E-2</v>
      </c>
      <c r="H32" s="15">
        <f t="shared" si="1"/>
        <v>8.5463515669515679</v>
      </c>
    </row>
    <row r="33" spans="1:8" x14ac:dyDescent="0.25">
      <c r="A33" s="36"/>
      <c r="B33" s="99" t="s">
        <v>204</v>
      </c>
      <c r="C33" s="100">
        <v>7.8</v>
      </c>
      <c r="D33" s="89">
        <f>VLOOKUP($B$2,'Irrigazione- suolo'!$B$24:$AK$35,HLOOKUP(VLOOKUP($D$3,Tabelle!$B$4:$C$10,2,FALSE),'Irrigazione- suolo'!$AD$22:$AK$37,16,FALSE),FALSE)</f>
        <v>-1.6615384615384615E-2</v>
      </c>
      <c r="E33" s="89">
        <f>VLOOKUP($B$2,'azoto-suolo'!$A$6:$Z$17,HLOOKUP($D$4,'azoto-suolo'!$U$5:$Z$19,15,FALSE),FALSE)</f>
        <v>0</v>
      </c>
      <c r="F33" s="89">
        <f>VLOOKUP($B$2,'semina-suolo'!$B$25:$R$36,HLOOKUP($D$2,'semina-suolo'!$M$22:$R$38,17,FALSE),FALSE)</f>
        <v>4.6296296296296301E-2</v>
      </c>
      <c r="G33" s="17">
        <f t="shared" si="0"/>
        <v>2.9680911680911685E-2</v>
      </c>
      <c r="H33" s="15">
        <f t="shared" si="1"/>
        <v>8.0315111111111115</v>
      </c>
    </row>
    <row r="34" spans="1:8" x14ac:dyDescent="0.25">
      <c r="A34" s="36"/>
      <c r="B34" s="99" t="s">
        <v>146</v>
      </c>
      <c r="C34" s="100">
        <v>8.8000000000000007</v>
      </c>
      <c r="D34" s="89">
        <f>VLOOKUP($B$2,'Irrigazione- suolo'!$B$24:$AK$35,HLOOKUP(VLOOKUP($D$3,Tabelle!$B$4:$C$10,2,FALSE),'Irrigazione- suolo'!$AD$22:$AK$37,16,FALSE),FALSE)</f>
        <v>-1.6615384615384615E-2</v>
      </c>
      <c r="E34" s="89">
        <f>VLOOKUP($B$2,'azoto-suolo'!$A$6:$Z$17,HLOOKUP($D$4,'azoto-suolo'!$U$5:$Z$19,15,FALSE),FALSE)</f>
        <v>0</v>
      </c>
      <c r="F34" s="89">
        <f>VLOOKUP($B$2,'semina-suolo'!$B$25:$R$36,HLOOKUP($D$2,'semina-suolo'!$M$22:$R$38,17,FALSE),FALSE)</f>
        <v>4.6296296296296301E-2</v>
      </c>
      <c r="G34" s="17">
        <f t="shared" si="0"/>
        <v>2.9680911680911685E-2</v>
      </c>
      <c r="H34" s="15">
        <f t="shared" si="1"/>
        <v>9.0611920227920244</v>
      </c>
    </row>
    <row r="35" spans="1:8" x14ac:dyDescent="0.25">
      <c r="A35" s="36"/>
      <c r="B35" s="99" t="s">
        <v>147</v>
      </c>
      <c r="C35" s="100">
        <v>9.3000000000000007</v>
      </c>
      <c r="D35" s="89">
        <f>VLOOKUP($B$2,'Irrigazione- suolo'!$B$24:$AK$35,HLOOKUP(VLOOKUP($D$3,Tabelle!$B$4:$C$10,2,FALSE),'Irrigazione- suolo'!$AD$22:$AK$37,16,FALSE),FALSE)</f>
        <v>-1.6615384615384615E-2</v>
      </c>
      <c r="E35" s="89">
        <f>VLOOKUP($B$2,'azoto-suolo'!$A$6:$Z$17,HLOOKUP($D$4,'azoto-suolo'!$U$5:$Z$19,15,FALSE),FALSE)</f>
        <v>0</v>
      </c>
      <c r="F35" s="89">
        <f>VLOOKUP($B$2,'semina-suolo'!$B$25:$R$36,HLOOKUP($D$2,'semina-suolo'!$M$22:$R$38,17,FALSE),FALSE)</f>
        <v>4.6296296296296301E-2</v>
      </c>
      <c r="G35" s="17">
        <f t="shared" si="0"/>
        <v>2.9680911680911685E-2</v>
      </c>
      <c r="H35" s="15">
        <f t="shared" si="1"/>
        <v>9.5760324786324791</v>
      </c>
    </row>
    <row r="36" spans="1:8" x14ac:dyDescent="0.25">
      <c r="A36" s="36"/>
      <c r="B36" s="99" t="s">
        <v>42</v>
      </c>
      <c r="C36" s="100">
        <v>8.5</v>
      </c>
      <c r="D36" s="89">
        <f>VLOOKUP($B$2,'Irrigazione- suolo'!$B$24:$AK$35,HLOOKUP(VLOOKUP($D$3,Tabelle!$B$4:$C$10,2,FALSE),'Irrigazione- suolo'!$AD$22:$AK$37,16,FALSE),FALSE)</f>
        <v>-1.6615384615384615E-2</v>
      </c>
      <c r="E36" s="89">
        <f>VLOOKUP($B$2,'azoto-suolo'!$A$6:$Z$17,HLOOKUP($D$4,'azoto-suolo'!$U$5:$Z$19,15,FALSE),FALSE)</f>
        <v>0</v>
      </c>
      <c r="F36" s="89">
        <f>VLOOKUP($B$2,'semina-suolo'!$B$25:$R$36,HLOOKUP($D$2,'semina-suolo'!$M$22:$R$38,17,FALSE),FALSE)</f>
        <v>4.6296296296296301E-2</v>
      </c>
      <c r="G36" s="17">
        <f t="shared" si="0"/>
        <v>2.9680911680911685E-2</v>
      </c>
      <c r="H36" s="15">
        <f t="shared" si="1"/>
        <v>8.7522877492877491</v>
      </c>
    </row>
    <row r="37" spans="1:8" x14ac:dyDescent="0.25">
      <c r="A37" s="36"/>
      <c r="B37" s="99" t="s">
        <v>256</v>
      </c>
      <c r="C37" s="100">
        <v>8.3000000000000007</v>
      </c>
      <c r="D37" s="89">
        <f>VLOOKUP($B$2,'Irrigazione- suolo'!$B$24:$AK$35,HLOOKUP(VLOOKUP($D$3,Tabelle!$B$4:$C$10,2,FALSE),'Irrigazione- suolo'!$AD$22:$AK$37,16,FALSE),FALSE)</f>
        <v>-1.6615384615384615E-2</v>
      </c>
      <c r="E37" s="89">
        <f>VLOOKUP($B$2,'azoto-suolo'!$A$6:$Z$17,HLOOKUP($D$4,'azoto-suolo'!$U$5:$Z$19,15,FALSE),FALSE)</f>
        <v>0</v>
      </c>
      <c r="F37" s="89">
        <f>VLOOKUP($B$2,'semina-suolo'!$B$25:$R$36,HLOOKUP($D$2,'semina-suolo'!$M$22:$R$38,17,FALSE),FALSE)</f>
        <v>4.6296296296296301E-2</v>
      </c>
      <c r="G37" s="17">
        <f t="shared" si="0"/>
        <v>2.9680911680911685E-2</v>
      </c>
      <c r="H37" s="15">
        <f t="shared" si="1"/>
        <v>8.5463515669515679</v>
      </c>
    </row>
    <row r="38" spans="1:8" x14ac:dyDescent="0.25">
      <c r="A38" s="36"/>
      <c r="B38" s="99" t="s">
        <v>139</v>
      </c>
      <c r="C38" s="100">
        <v>7.9</v>
      </c>
      <c r="D38" s="89">
        <f>VLOOKUP($B$2,'Irrigazione- suolo'!$B$24:$AK$35,HLOOKUP(VLOOKUP($D$3,Tabelle!$B$4:$C$10,2,FALSE),'Irrigazione- suolo'!$AD$22:$AK$37,16,FALSE),FALSE)</f>
        <v>-1.6615384615384615E-2</v>
      </c>
      <c r="E38" s="89">
        <f>VLOOKUP($B$2,'azoto-suolo'!$A$6:$Z$17,HLOOKUP($D$4,'azoto-suolo'!$U$5:$Z$19,15,FALSE),FALSE)</f>
        <v>0</v>
      </c>
      <c r="F38" s="89">
        <f>VLOOKUP($B$2,'semina-suolo'!$B$25:$R$36,HLOOKUP($D$2,'semina-suolo'!$M$22:$R$38,17,FALSE),FALSE)</f>
        <v>4.6296296296296301E-2</v>
      </c>
      <c r="G38" s="17">
        <f t="shared" si="0"/>
        <v>2.9680911680911685E-2</v>
      </c>
      <c r="H38" s="15">
        <f t="shared" si="1"/>
        <v>8.1344792022792021</v>
      </c>
    </row>
    <row r="39" spans="1:8" x14ac:dyDescent="0.25">
      <c r="A39" s="36"/>
      <c r="B39" s="99" t="s">
        <v>257</v>
      </c>
      <c r="C39" s="100">
        <v>8.4</v>
      </c>
      <c r="D39" s="89">
        <f>VLOOKUP($B$2,'Irrigazione- suolo'!$B$24:$AK$35,HLOOKUP(VLOOKUP($D$3,Tabelle!$B$4:$C$10,2,FALSE),'Irrigazione- suolo'!$AD$22:$AK$37,16,FALSE),FALSE)</f>
        <v>-1.6615384615384615E-2</v>
      </c>
      <c r="E39" s="89">
        <f>VLOOKUP($B$2,'azoto-suolo'!$A$6:$Z$17,HLOOKUP($D$4,'azoto-suolo'!$U$5:$Z$19,15,FALSE),FALSE)</f>
        <v>0</v>
      </c>
      <c r="F39" s="89">
        <f>VLOOKUP($B$2,'semina-suolo'!$B$25:$R$36,HLOOKUP($D$2,'semina-suolo'!$M$22:$R$38,17,FALSE),FALSE)</f>
        <v>4.6296296296296301E-2</v>
      </c>
      <c r="G39" s="17">
        <f t="shared" si="0"/>
        <v>2.9680911680911685E-2</v>
      </c>
      <c r="H39" s="15">
        <f t="shared" si="1"/>
        <v>8.6493196581196585</v>
      </c>
    </row>
    <row r="40" spans="1:8" x14ac:dyDescent="0.25">
      <c r="A40" s="36"/>
      <c r="B40" s="99" t="s">
        <v>38</v>
      </c>
      <c r="C40" s="100">
        <v>8.4</v>
      </c>
      <c r="D40" s="89">
        <f>VLOOKUP($B$2,'Irrigazione- suolo'!$B$24:$AK$35,HLOOKUP(VLOOKUP($D$3,Tabelle!$B$4:$C$10,2,FALSE),'Irrigazione- suolo'!$AD$22:$AK$37,16,FALSE),FALSE)</f>
        <v>-1.6615384615384615E-2</v>
      </c>
      <c r="E40" s="89">
        <f>VLOOKUP($B$2,'azoto-suolo'!$A$6:$Z$17,HLOOKUP($D$4,'azoto-suolo'!$U$5:$Z$19,15,FALSE),FALSE)</f>
        <v>0</v>
      </c>
      <c r="F40" s="89">
        <f>VLOOKUP($B$2,'semina-suolo'!$B$25:$R$36,HLOOKUP($D$2,'semina-suolo'!$M$22:$R$38,17,FALSE),FALSE)</f>
        <v>4.6296296296296301E-2</v>
      </c>
      <c r="G40" s="17">
        <f t="shared" si="0"/>
        <v>2.9680911680911685E-2</v>
      </c>
      <c r="H40" s="15">
        <f t="shared" si="1"/>
        <v>8.6493196581196585</v>
      </c>
    </row>
    <row r="41" spans="1:8" x14ac:dyDescent="0.25">
      <c r="A41" s="36"/>
      <c r="B41" s="99" t="s">
        <v>40</v>
      </c>
      <c r="C41" s="100">
        <v>8.4</v>
      </c>
      <c r="D41" s="89">
        <f>VLOOKUP($B$2,'Irrigazione- suolo'!$B$24:$AK$35,HLOOKUP(VLOOKUP($D$3,Tabelle!$B$4:$C$10,2,FALSE),'Irrigazione- suolo'!$AD$22:$AK$37,16,FALSE),FALSE)</f>
        <v>-1.6615384615384615E-2</v>
      </c>
      <c r="E41" s="89">
        <f>VLOOKUP($B$2,'azoto-suolo'!$A$6:$Z$17,HLOOKUP($D$4,'azoto-suolo'!$U$5:$Z$19,15,FALSE),FALSE)</f>
        <v>0</v>
      </c>
      <c r="F41" s="89">
        <f>VLOOKUP($B$2,'semina-suolo'!$B$25:$R$36,HLOOKUP($D$2,'semina-suolo'!$M$22:$R$38,17,FALSE),FALSE)</f>
        <v>4.6296296296296301E-2</v>
      </c>
      <c r="G41" s="17">
        <f t="shared" si="0"/>
        <v>2.9680911680911685E-2</v>
      </c>
      <c r="H41" s="15">
        <f>IF(SUM(C41,(C41*G41))&lt;6.5,6.5,IF(SUM(C41,(C41*G41))&gt;10,10,(SUM(C41,(C41*G41)))))</f>
        <v>8.6493196581196585</v>
      </c>
    </row>
    <row r="42" spans="1:8" x14ac:dyDescent="0.25">
      <c r="A42" s="36"/>
      <c r="B42" s="99" t="s">
        <v>137</v>
      </c>
      <c r="C42" s="100">
        <v>8</v>
      </c>
      <c r="D42" s="89">
        <f>VLOOKUP($B$2,'Irrigazione- suolo'!$B$24:$AK$35,HLOOKUP(VLOOKUP($D$3,Tabelle!$B$4:$C$10,2,FALSE),'Irrigazione- suolo'!$AD$22:$AK$37,16,FALSE),FALSE)</f>
        <v>-1.6615384615384615E-2</v>
      </c>
      <c r="E42" s="89">
        <f>VLOOKUP($B$2,'azoto-suolo'!$A$6:$Z$17,HLOOKUP($D$4,'azoto-suolo'!$U$5:$Z$19,15,FALSE),FALSE)</f>
        <v>0</v>
      </c>
      <c r="F42" s="89">
        <f>VLOOKUP($B$2,'semina-suolo'!$B$25:$R$36,HLOOKUP($D$2,'semina-suolo'!$M$22:$R$38,17,FALSE),FALSE)</f>
        <v>4.6296296296296301E-2</v>
      </c>
      <c r="G42" s="17">
        <f t="shared" si="0"/>
        <v>2.9680911680911685E-2</v>
      </c>
      <c r="H42" s="15">
        <f>IF(SUM(C42,(C42*G42))&lt;6.5,6.5,IF(SUM(C42,(C42*G42))&gt;10,10,(SUM(C42,(C42*G42)))))</f>
        <v>8.2374472934472927</v>
      </c>
    </row>
    <row r="43" spans="1:8" x14ac:dyDescent="0.25">
      <c r="A43" s="36"/>
      <c r="B43" s="99" t="s">
        <v>145</v>
      </c>
      <c r="C43" s="100">
        <v>9.4</v>
      </c>
      <c r="D43" s="89">
        <f>VLOOKUP($B$2,'Irrigazione- suolo'!$B$24:$AK$35,HLOOKUP(VLOOKUP($D$3,Tabelle!$B$4:$C$10,2,FALSE),'Irrigazione- suolo'!$AD$22:$AK$37,16,FALSE),FALSE)</f>
        <v>-1.6615384615384615E-2</v>
      </c>
      <c r="E43" s="89">
        <f>VLOOKUP($B$2,'azoto-suolo'!$A$6:$Z$17,HLOOKUP($D$4,'azoto-suolo'!$U$5:$Z$19,15,FALSE),FALSE)</f>
        <v>0</v>
      </c>
      <c r="F43" s="89">
        <f>VLOOKUP($B$2,'semina-suolo'!$B$25:$R$36,HLOOKUP($D$2,'semina-suolo'!$M$22:$R$38,17,FALSE),FALSE)</f>
        <v>4.6296296296296301E-2</v>
      </c>
      <c r="G43" s="17">
        <f t="shared" si="0"/>
        <v>2.9680911680911685E-2</v>
      </c>
      <c r="H43" s="15">
        <f>IF(SUM(C43,(C43*G43))&lt;6.5,6.5,IF(SUM(C43,(C43*G43))&gt;10,10,(SUM(C43,(C43*G43)))))</f>
        <v>9.6790005698005697</v>
      </c>
    </row>
    <row r="44" spans="1:8" x14ac:dyDescent="0.25">
      <c r="A44" s="36"/>
      <c r="B44" s="99" t="s">
        <v>37</v>
      </c>
      <c r="C44" s="100">
        <v>8</v>
      </c>
      <c r="D44" s="89">
        <f>VLOOKUP($B$2,'Irrigazione- suolo'!$B$24:$AK$35,HLOOKUP(VLOOKUP($D$3,Tabelle!$B$4:$C$10,2,FALSE),'Irrigazione- suolo'!$AD$22:$AK$37,16,FALSE),FALSE)</f>
        <v>-1.6615384615384615E-2</v>
      </c>
      <c r="E44" s="89">
        <f>VLOOKUP($B$2,'azoto-suolo'!$A$6:$Z$17,HLOOKUP($D$4,'azoto-suolo'!$U$5:$Z$19,15,FALSE),FALSE)</f>
        <v>0</v>
      </c>
      <c r="F44" s="89">
        <f>VLOOKUP($B$2,'semina-suolo'!$B$25:$R$36,HLOOKUP($D$2,'semina-suolo'!$M$22:$R$38,17,FALSE),FALSE)</f>
        <v>4.6296296296296301E-2</v>
      </c>
      <c r="G44" s="17">
        <f t="shared" si="0"/>
        <v>2.9680911680911685E-2</v>
      </c>
      <c r="H44" s="15">
        <f>IF(SUM(C44,(C44*G44))&lt;6.5,6.5,IF(SUM(C44,(C44*G44))&gt;10,10,(SUM(C44,(C44*G44)))))</f>
        <v>8.2374472934472927</v>
      </c>
    </row>
    <row r="45" spans="1:8" x14ac:dyDescent="0.25">
      <c r="A45" s="36"/>
      <c r="B45" s="99" t="s">
        <v>144</v>
      </c>
      <c r="C45" s="100">
        <v>8</v>
      </c>
      <c r="D45" s="89">
        <f>VLOOKUP($B$2,'Irrigazione- suolo'!$B$24:$AK$35,HLOOKUP(VLOOKUP($D$3,Tabelle!$B$4:$C$10,2,FALSE),'Irrigazione- suolo'!$AD$22:$AK$37,16,FALSE),FALSE)</f>
        <v>-1.6615384615384615E-2</v>
      </c>
      <c r="E45" s="89">
        <f>VLOOKUP($B$2,'azoto-suolo'!$A$6:$Z$17,HLOOKUP($D$4,'azoto-suolo'!$U$5:$Z$19,15,FALSE),FALSE)</f>
        <v>0</v>
      </c>
      <c r="F45" s="89">
        <f>VLOOKUP($B$2,'semina-suolo'!$B$25:$R$36,HLOOKUP($D$2,'semina-suolo'!$M$22:$R$38,17,FALSE),FALSE)</f>
        <v>4.6296296296296301E-2</v>
      </c>
      <c r="G45" s="17">
        <f t="shared" si="0"/>
        <v>2.9680911680911685E-2</v>
      </c>
      <c r="H45" s="15">
        <f t="shared" si="1"/>
        <v>8.2374472934472927</v>
      </c>
    </row>
    <row r="46" spans="1:8" x14ac:dyDescent="0.25">
      <c r="A46" s="36"/>
      <c r="B46" s="99" t="s">
        <v>136</v>
      </c>
      <c r="C46" s="100">
        <v>8.5</v>
      </c>
      <c r="D46" s="89">
        <f>VLOOKUP($B$2,'Irrigazione- suolo'!$B$24:$AK$35,HLOOKUP(VLOOKUP($D$3,Tabelle!$B$4:$C$10,2,FALSE),'Irrigazione- suolo'!$AD$22:$AK$37,16,FALSE),FALSE)</f>
        <v>-1.6615384615384615E-2</v>
      </c>
      <c r="E46" s="89">
        <f>VLOOKUP($B$2,'azoto-suolo'!$A$6:$Z$17,HLOOKUP($D$4,'azoto-suolo'!$U$5:$Z$19,15,FALSE),FALSE)</f>
        <v>0</v>
      </c>
      <c r="F46" s="89">
        <f>VLOOKUP($B$2,'semina-suolo'!$B$25:$R$36,HLOOKUP($D$2,'semina-suolo'!$M$22:$R$38,17,FALSE),FALSE)</f>
        <v>4.6296296296296301E-2</v>
      </c>
      <c r="G46" s="17">
        <f t="shared" si="0"/>
        <v>2.9680911680911685E-2</v>
      </c>
      <c r="H46" s="15">
        <f>IF(SUM(C46,(C46*G46))&lt;6.5,6.5,IF(SUM(C46,(C46*G46))&gt;10,10,(SUM(C46,(C46*G46)))))</f>
        <v>8.7522877492877491</v>
      </c>
    </row>
    <row r="47" spans="1:8" x14ac:dyDescent="0.25">
      <c r="A47" s="36"/>
      <c r="B47" s="99" t="s">
        <v>36</v>
      </c>
      <c r="C47" s="100">
        <v>8.1999999999999993</v>
      </c>
      <c r="D47" s="89">
        <f>VLOOKUP($B$2,'Irrigazione- suolo'!$B$24:$AK$35,HLOOKUP(VLOOKUP($D$3,Tabelle!$B$4:$C$10,2,FALSE),'Irrigazione- suolo'!$AD$22:$AK$37,16,FALSE),FALSE)</f>
        <v>-1.6615384615384615E-2</v>
      </c>
      <c r="E47" s="89">
        <f>VLOOKUP($B$2,'azoto-suolo'!$A$6:$Z$17,HLOOKUP($D$4,'azoto-suolo'!$U$5:$Z$19,15,FALSE),FALSE)</f>
        <v>0</v>
      </c>
      <c r="F47" s="89">
        <f>VLOOKUP($B$2,'semina-suolo'!$B$25:$R$36,HLOOKUP($D$2,'semina-suolo'!$M$22:$R$38,17,FALSE),FALSE)</f>
        <v>4.6296296296296301E-2</v>
      </c>
      <c r="G47" s="17">
        <f t="shared" si="0"/>
        <v>2.9680911680911685E-2</v>
      </c>
      <c r="H47" s="15">
        <f>IF(SUM(C47,(C47*G47))&lt;6.5,6.5,IF(SUM(C47,(C47*G47))&gt;10,10,(SUM(C47,(C47*G47)))))</f>
        <v>8.4433834757834756</v>
      </c>
    </row>
    <row r="48" spans="1:8" x14ac:dyDescent="0.25">
      <c r="A48" s="36"/>
      <c r="B48" s="99" t="s">
        <v>134</v>
      </c>
      <c r="C48" s="100">
        <v>8.1999999999999993</v>
      </c>
      <c r="D48" s="89">
        <f>VLOOKUP($B$2,'Irrigazione- suolo'!$B$24:$AK$35,HLOOKUP(VLOOKUP($D$3,Tabelle!$B$4:$C$10,2,FALSE),'Irrigazione- suolo'!$AD$22:$AK$37,16,FALSE),FALSE)</f>
        <v>-1.6615384615384615E-2</v>
      </c>
      <c r="E48" s="89">
        <f>VLOOKUP($B$2,'azoto-suolo'!$A$6:$Z$17,HLOOKUP($D$4,'azoto-suolo'!$U$5:$Z$19,15,FALSE),FALSE)</f>
        <v>0</v>
      </c>
      <c r="F48" s="89">
        <f>VLOOKUP($B$2,'semina-suolo'!$B$25:$R$36,HLOOKUP($D$2,'semina-suolo'!$M$22:$R$38,17,FALSE),FALSE)</f>
        <v>4.6296296296296301E-2</v>
      </c>
      <c r="G48" s="17">
        <f t="shared" si="0"/>
        <v>2.9680911680911685E-2</v>
      </c>
      <c r="H48" s="15">
        <f>IF(SUM(C48,(C48*G48))&lt;6.5,6.5,IF(SUM(C48,(C48*G48))&gt;10,10,(SUM(C48,(C48*G48)))))</f>
        <v>8.4433834757834756</v>
      </c>
    </row>
    <row r="49" spans="1:8" x14ac:dyDescent="0.25">
      <c r="A49" s="36"/>
      <c r="B49" s="99" t="s">
        <v>30</v>
      </c>
      <c r="C49" s="100">
        <v>9.1</v>
      </c>
      <c r="D49" s="89">
        <f>VLOOKUP($B$2,'Irrigazione- suolo'!$B$24:$AK$35,HLOOKUP(VLOOKUP($D$3,Tabelle!$B$4:$C$10,2,FALSE),'Irrigazione- suolo'!$AD$22:$AK$37,16,FALSE),FALSE)</f>
        <v>-1.6615384615384615E-2</v>
      </c>
      <c r="E49" s="89">
        <f>VLOOKUP($B$2,'azoto-suolo'!$A$6:$Z$17,HLOOKUP($D$4,'azoto-suolo'!$U$5:$Z$19,15,FALSE),FALSE)</f>
        <v>0</v>
      </c>
      <c r="F49" s="89">
        <f>VLOOKUP($B$2,'semina-suolo'!$B$25:$R$36,HLOOKUP($D$2,'semina-suolo'!$M$22:$R$38,17,FALSE),FALSE)</f>
        <v>4.6296296296296301E-2</v>
      </c>
      <c r="G49" s="17">
        <f t="shared" si="0"/>
        <v>2.9680911680911685E-2</v>
      </c>
      <c r="H49" s="15">
        <f>IF(SUM(C49,(C49*G49))&lt;6.5,6.5,IF(SUM(C49,(C49*G49))&gt;10,10,(SUM(C49,(C49*G49)))))</f>
        <v>9.3700962962962961</v>
      </c>
    </row>
    <row r="50" spans="1:8" x14ac:dyDescent="0.25">
      <c r="A50" s="36"/>
      <c r="B50" s="99" t="s">
        <v>35</v>
      </c>
      <c r="C50" s="100">
        <v>8.4</v>
      </c>
      <c r="D50" s="89">
        <f>VLOOKUP($B$2,'Irrigazione- suolo'!$B$24:$AK$35,HLOOKUP(VLOOKUP($D$3,Tabelle!$B$4:$C$10,2,FALSE),'Irrigazione- suolo'!$AD$22:$AK$37,16,FALSE),FALSE)</f>
        <v>-1.6615384615384615E-2</v>
      </c>
      <c r="E50" s="89">
        <f>VLOOKUP($B$2,'azoto-suolo'!$A$6:$Z$17,HLOOKUP($D$4,'azoto-suolo'!$U$5:$Z$19,15,FALSE),FALSE)</f>
        <v>0</v>
      </c>
      <c r="F50" s="89">
        <f>VLOOKUP($B$2,'semina-suolo'!$B$25:$R$36,HLOOKUP($D$2,'semina-suolo'!$M$22:$R$38,17,FALSE),FALSE)</f>
        <v>4.6296296296296301E-2</v>
      </c>
      <c r="G50" s="17">
        <f t="shared" si="0"/>
        <v>2.9680911680911685E-2</v>
      </c>
      <c r="H50" s="15">
        <f t="shared" si="1"/>
        <v>8.6493196581196585</v>
      </c>
    </row>
    <row r="51" spans="1:8" x14ac:dyDescent="0.25">
      <c r="A51" s="36"/>
      <c r="B51" s="99" t="s">
        <v>43</v>
      </c>
      <c r="C51" s="100">
        <v>8.1</v>
      </c>
      <c r="D51" s="89">
        <f>VLOOKUP($B$2,'Irrigazione- suolo'!$B$24:$AK$35,HLOOKUP(VLOOKUP($D$3,Tabelle!$B$4:$C$10,2,FALSE),'Irrigazione- suolo'!$AD$22:$AK$37,16,FALSE),FALSE)</f>
        <v>-1.6615384615384615E-2</v>
      </c>
      <c r="E51" s="89">
        <f>VLOOKUP($B$2,'azoto-suolo'!$A$6:$Z$17,HLOOKUP($D$4,'azoto-suolo'!$U$5:$Z$19,15,FALSE),FALSE)</f>
        <v>0</v>
      </c>
      <c r="F51" s="89">
        <f>VLOOKUP($B$2,'semina-suolo'!$B$25:$R$36,HLOOKUP($D$2,'semina-suolo'!$M$22:$R$38,17,FALSE),FALSE)</f>
        <v>4.6296296296296301E-2</v>
      </c>
      <c r="G51" s="17">
        <f t="shared" si="0"/>
        <v>2.9680911680911685E-2</v>
      </c>
      <c r="H51" s="15">
        <f t="shared" si="1"/>
        <v>8.340415384615385</v>
      </c>
    </row>
    <row r="52" spans="1:8" x14ac:dyDescent="0.25">
      <c r="A52" s="36"/>
      <c r="B52" s="99" t="s">
        <v>218</v>
      </c>
      <c r="C52" s="100">
        <v>8.6999999999999993</v>
      </c>
      <c r="D52" s="89">
        <f>VLOOKUP($B$2,'Irrigazione- suolo'!$B$24:$AK$35,HLOOKUP(VLOOKUP($D$3,Tabelle!$B$4:$C$10,2,FALSE),'Irrigazione- suolo'!$AD$22:$AK$37,16,FALSE),FALSE)</f>
        <v>-1.6615384615384615E-2</v>
      </c>
      <c r="E52" s="89">
        <f>VLOOKUP($B$2,'azoto-suolo'!$A$6:$Z$17,HLOOKUP($D$4,'azoto-suolo'!$U$5:$Z$19,15,FALSE),FALSE)</f>
        <v>0</v>
      </c>
      <c r="F52" s="89">
        <f>VLOOKUP($B$2,'semina-suolo'!$B$25:$R$36,HLOOKUP($D$2,'semina-suolo'!$M$22:$R$38,17,FALSE),FALSE)</f>
        <v>4.6296296296296301E-2</v>
      </c>
      <c r="G52" s="17">
        <f t="shared" si="0"/>
        <v>2.9680911680911685E-2</v>
      </c>
      <c r="H52" s="15">
        <f t="shared" si="1"/>
        <v>8.9582239316239303</v>
      </c>
    </row>
    <row r="53" spans="1:8" x14ac:dyDescent="0.25">
      <c r="A53" s="36"/>
      <c r="B53" s="99" t="s">
        <v>206</v>
      </c>
      <c r="C53" s="100">
        <v>8</v>
      </c>
      <c r="D53" s="89">
        <f>VLOOKUP($B$2,'Irrigazione- suolo'!$B$24:$AK$35,HLOOKUP(VLOOKUP($D$3,Tabelle!$B$4:$C$10,2,FALSE),'Irrigazione- suolo'!$AD$22:$AK$37,16,FALSE),FALSE)</f>
        <v>-1.6615384615384615E-2</v>
      </c>
      <c r="E53" s="89">
        <f>VLOOKUP($B$2,'azoto-suolo'!$A$6:$Z$17,HLOOKUP($D$4,'azoto-suolo'!$U$5:$Z$19,15,FALSE),FALSE)</f>
        <v>0</v>
      </c>
      <c r="F53" s="89">
        <f>VLOOKUP($B$2,'semina-suolo'!$B$25:$R$36,HLOOKUP($D$2,'semina-suolo'!$M$22:$R$38,17,FALSE),FALSE)</f>
        <v>4.6296296296296301E-2</v>
      </c>
      <c r="G53" s="17">
        <f t="shared" si="0"/>
        <v>2.9680911680911685E-2</v>
      </c>
      <c r="H53" s="15">
        <f t="shared" si="1"/>
        <v>8.2374472934472927</v>
      </c>
    </row>
    <row r="54" spans="1:8" x14ac:dyDescent="0.25">
      <c r="A54" s="36"/>
      <c r="B54" s="99" t="s">
        <v>207</v>
      </c>
      <c r="C54" s="100">
        <v>8.4</v>
      </c>
      <c r="D54" s="89">
        <f>VLOOKUP($B$2,'Irrigazione- suolo'!$B$24:$AK$35,HLOOKUP(VLOOKUP($D$3,Tabelle!$B$4:$C$10,2,FALSE),'Irrigazione- suolo'!$AD$22:$AK$37,16,FALSE),FALSE)</f>
        <v>-1.6615384615384615E-2</v>
      </c>
      <c r="E54" s="89">
        <f>VLOOKUP($B$2,'azoto-suolo'!$A$6:$Z$17,HLOOKUP($D$4,'azoto-suolo'!$U$5:$Z$19,15,FALSE),FALSE)</f>
        <v>0</v>
      </c>
      <c r="F54" s="89">
        <f>VLOOKUP($B$2,'semina-suolo'!$B$25:$R$36,HLOOKUP($D$2,'semina-suolo'!$M$22:$R$38,17,FALSE),FALSE)</f>
        <v>4.6296296296296301E-2</v>
      </c>
      <c r="G54" s="17">
        <f t="shared" si="0"/>
        <v>2.9680911680911685E-2</v>
      </c>
      <c r="H54" s="15">
        <f t="shared" si="1"/>
        <v>8.6493196581196585</v>
      </c>
    </row>
    <row r="55" spans="1:8" x14ac:dyDescent="0.25">
      <c r="A55" s="36"/>
      <c r="B55" s="99" t="s">
        <v>220</v>
      </c>
      <c r="C55" s="100">
        <v>8</v>
      </c>
      <c r="D55" s="89">
        <f>VLOOKUP($B$2,'Irrigazione- suolo'!$B$24:$AK$35,HLOOKUP(VLOOKUP($D$3,Tabelle!$B$4:$C$10,2,FALSE),'Irrigazione- suolo'!$AD$22:$AK$37,16,FALSE),FALSE)</f>
        <v>-1.6615384615384615E-2</v>
      </c>
      <c r="E55" s="89">
        <f>VLOOKUP($B$2,'azoto-suolo'!$A$6:$Z$17,HLOOKUP($D$4,'azoto-suolo'!$U$5:$Z$19,15,FALSE),FALSE)</f>
        <v>0</v>
      </c>
      <c r="F55" s="89">
        <f>VLOOKUP($B$2,'semina-suolo'!$B$25:$R$36,HLOOKUP($D$2,'semina-suolo'!$M$22:$R$38,17,FALSE),FALSE)</f>
        <v>4.6296296296296301E-2</v>
      </c>
      <c r="G55" s="17">
        <f t="shared" si="0"/>
        <v>2.9680911680911685E-2</v>
      </c>
      <c r="H55" s="15">
        <f t="shared" si="1"/>
        <v>8.2374472934472927</v>
      </c>
    </row>
    <row r="56" spans="1:8" x14ac:dyDescent="0.25">
      <c r="A56" s="36"/>
      <c r="B56" s="99" t="s">
        <v>208</v>
      </c>
      <c r="C56" s="100">
        <v>8</v>
      </c>
      <c r="D56" s="89">
        <f>VLOOKUP($B$2,'Irrigazione- suolo'!$B$24:$AK$35,HLOOKUP(VLOOKUP($D$3,Tabelle!$B$4:$C$10,2,FALSE),'Irrigazione- suolo'!$AD$22:$AK$37,16,FALSE),FALSE)</f>
        <v>-1.6615384615384615E-2</v>
      </c>
      <c r="E56" s="89">
        <f>VLOOKUP($B$2,'azoto-suolo'!$A$6:$Z$17,HLOOKUP($D$4,'azoto-suolo'!$U$5:$Z$19,15,FALSE),FALSE)</f>
        <v>0</v>
      </c>
      <c r="F56" s="89">
        <f>VLOOKUP($B$2,'semina-suolo'!$B$25:$R$36,HLOOKUP($D$2,'semina-suolo'!$M$22:$R$38,17,FALSE),FALSE)</f>
        <v>4.6296296296296301E-2</v>
      </c>
      <c r="G56" s="17">
        <f t="shared" si="0"/>
        <v>2.9680911680911685E-2</v>
      </c>
      <c r="H56" s="15">
        <f t="shared" si="1"/>
        <v>8.2374472934472927</v>
      </c>
    </row>
    <row r="57" spans="1:8" x14ac:dyDescent="0.25">
      <c r="A57" s="36"/>
      <c r="B57" s="99" t="s">
        <v>209</v>
      </c>
      <c r="C57" s="100">
        <v>8.9</v>
      </c>
      <c r="D57" s="89">
        <f>VLOOKUP($B$2,'Irrigazione- suolo'!$B$24:$AK$35,HLOOKUP(VLOOKUP($D$3,Tabelle!$B$4:$C$10,2,FALSE),'Irrigazione- suolo'!$AD$22:$AK$37,16,FALSE),FALSE)</f>
        <v>-1.6615384615384615E-2</v>
      </c>
      <c r="E57" s="89">
        <f>VLOOKUP($B$2,'azoto-suolo'!$A$6:$Z$17,HLOOKUP($D$4,'azoto-suolo'!$U$5:$Z$19,15,FALSE),FALSE)</f>
        <v>0</v>
      </c>
      <c r="F57" s="89">
        <f>VLOOKUP($B$2,'semina-suolo'!$B$25:$R$36,HLOOKUP($D$2,'semina-suolo'!$M$22:$R$38,17,FALSE),FALSE)</f>
        <v>4.6296296296296301E-2</v>
      </c>
      <c r="G57" s="17">
        <f t="shared" si="0"/>
        <v>2.9680911680911685E-2</v>
      </c>
      <c r="H57" s="15">
        <f t="shared" si="1"/>
        <v>9.164160113960115</v>
      </c>
    </row>
    <row r="58" spans="1:8" x14ac:dyDescent="0.25">
      <c r="A58" s="36"/>
      <c r="B58" s="99" t="s">
        <v>210</v>
      </c>
      <c r="C58" s="100">
        <v>8</v>
      </c>
      <c r="D58" s="89">
        <f>VLOOKUP($B$2,'Irrigazione- suolo'!$B$24:$AK$35,HLOOKUP(VLOOKUP($D$3,Tabelle!$B$4:$C$10,2,FALSE),'Irrigazione- suolo'!$AD$22:$AK$37,16,FALSE),FALSE)</f>
        <v>-1.6615384615384615E-2</v>
      </c>
      <c r="E58" s="89">
        <f>VLOOKUP($B$2,'azoto-suolo'!$A$6:$Z$17,HLOOKUP($D$4,'azoto-suolo'!$U$5:$Z$19,15,FALSE),FALSE)</f>
        <v>0</v>
      </c>
      <c r="F58" s="89">
        <f>VLOOKUP($B$2,'semina-suolo'!$B$25:$R$36,HLOOKUP($D$2,'semina-suolo'!$M$22:$R$38,17,FALSE),FALSE)</f>
        <v>4.6296296296296301E-2</v>
      </c>
      <c r="G58" s="17">
        <f t="shared" si="0"/>
        <v>2.9680911680911685E-2</v>
      </c>
      <c r="H58" s="15">
        <f t="shared" ref="H58:H77" si="2">IF(SUM(C58,(C58*G58))&lt;6.5,6.5,IF(SUM(C58,(C58*G58))&gt;10,10,(SUM(C58,(C58*G58)))))</f>
        <v>8.2374472934472927</v>
      </c>
    </row>
    <row r="59" spans="1:8" x14ac:dyDescent="0.25">
      <c r="A59" s="36"/>
      <c r="B59" s="99" t="s">
        <v>211</v>
      </c>
      <c r="C59" s="100">
        <v>8.3000000000000007</v>
      </c>
      <c r="D59" s="89">
        <f>VLOOKUP($B$2,'Irrigazione- suolo'!$B$24:$AK$35,HLOOKUP(VLOOKUP($D$3,Tabelle!$B$4:$C$10,2,FALSE),'Irrigazione- suolo'!$AD$22:$AK$37,16,FALSE),FALSE)</f>
        <v>-1.6615384615384615E-2</v>
      </c>
      <c r="E59" s="89">
        <f>VLOOKUP($B$2,'azoto-suolo'!$A$6:$Z$17,HLOOKUP($D$4,'azoto-suolo'!$U$5:$Z$19,15,FALSE),FALSE)</f>
        <v>0</v>
      </c>
      <c r="F59" s="89">
        <f>VLOOKUP($B$2,'semina-suolo'!$B$25:$R$36,HLOOKUP($D$2,'semina-suolo'!$M$22:$R$38,17,FALSE),FALSE)</f>
        <v>4.6296296296296301E-2</v>
      </c>
      <c r="G59" s="17">
        <f t="shared" si="0"/>
        <v>2.9680911680911685E-2</v>
      </c>
      <c r="H59" s="15">
        <f t="shared" si="2"/>
        <v>8.5463515669515679</v>
      </c>
    </row>
    <row r="60" spans="1:8" x14ac:dyDescent="0.25">
      <c r="A60" s="36"/>
      <c r="B60" s="99" t="s">
        <v>212</v>
      </c>
      <c r="C60" s="100">
        <v>8.1</v>
      </c>
      <c r="D60" s="89">
        <f>VLOOKUP($B$2,'Irrigazione- suolo'!$B$24:$AK$35,HLOOKUP(VLOOKUP($D$3,Tabelle!$B$4:$C$10,2,FALSE),'Irrigazione- suolo'!$AD$22:$AK$37,16,FALSE),FALSE)</f>
        <v>-1.6615384615384615E-2</v>
      </c>
      <c r="E60" s="89">
        <f>VLOOKUP($B$2,'azoto-suolo'!$A$6:$Z$17,HLOOKUP($D$4,'azoto-suolo'!$U$5:$Z$19,15,FALSE),FALSE)</f>
        <v>0</v>
      </c>
      <c r="F60" s="89">
        <f>VLOOKUP($B$2,'semina-suolo'!$B$25:$R$36,HLOOKUP($D$2,'semina-suolo'!$M$22:$R$38,17,FALSE),FALSE)</f>
        <v>4.6296296296296301E-2</v>
      </c>
      <c r="G60" s="17">
        <f t="shared" si="0"/>
        <v>2.9680911680911685E-2</v>
      </c>
      <c r="H60" s="15">
        <f t="shared" si="2"/>
        <v>8.340415384615385</v>
      </c>
    </row>
    <row r="61" spans="1:8" x14ac:dyDescent="0.25">
      <c r="A61" s="36"/>
      <c r="B61" s="99" t="s">
        <v>263</v>
      </c>
      <c r="C61" s="100">
        <v>9</v>
      </c>
      <c r="D61" s="89">
        <f>VLOOKUP($B$2,'Irrigazione- suolo'!$B$24:$AK$35,HLOOKUP(VLOOKUP($D$3,Tabelle!$B$4:$C$10,2,FALSE),'Irrigazione- suolo'!$AD$22:$AK$37,16,FALSE),FALSE)</f>
        <v>-1.6615384615384615E-2</v>
      </c>
      <c r="E61" s="89">
        <f>VLOOKUP($B$2,'azoto-suolo'!$A$6:$Z$17,HLOOKUP($D$4,'azoto-suolo'!$U$5:$Z$19,15,FALSE),FALSE)</f>
        <v>0</v>
      </c>
      <c r="F61" s="89">
        <f>VLOOKUP($B$2,'semina-suolo'!$B$25:$R$36,HLOOKUP($D$2,'semina-suolo'!$M$22:$R$38,17,FALSE),FALSE)</f>
        <v>4.6296296296296301E-2</v>
      </c>
      <c r="G61" s="17">
        <f t="shared" si="0"/>
        <v>2.9680911680911685E-2</v>
      </c>
      <c r="H61" s="15">
        <f t="shared" si="2"/>
        <v>9.2671282051282056</v>
      </c>
    </row>
    <row r="62" spans="1:8" x14ac:dyDescent="0.25">
      <c r="A62" s="36"/>
      <c r="B62" s="99" t="s">
        <v>262</v>
      </c>
      <c r="C62" s="100">
        <v>8.8000000000000007</v>
      </c>
      <c r="D62" s="89">
        <f>VLOOKUP($B$2,'Irrigazione- suolo'!$B$24:$AK$35,HLOOKUP(VLOOKUP($D$3,Tabelle!$B$4:$C$10,2,FALSE),'Irrigazione- suolo'!$AD$22:$AK$37,16,FALSE),FALSE)</f>
        <v>-1.6615384615384615E-2</v>
      </c>
      <c r="E62" s="89">
        <f>VLOOKUP($B$2,'azoto-suolo'!$A$6:$Z$17,HLOOKUP($D$4,'azoto-suolo'!$U$5:$Z$19,15,FALSE),FALSE)</f>
        <v>0</v>
      </c>
      <c r="F62" s="89">
        <f>VLOOKUP($B$2,'semina-suolo'!$B$25:$R$36,HLOOKUP($D$2,'semina-suolo'!$M$22:$R$38,17,FALSE),FALSE)</f>
        <v>4.6296296296296301E-2</v>
      </c>
      <c r="G62" s="17">
        <f t="shared" si="0"/>
        <v>2.9680911680911685E-2</v>
      </c>
      <c r="H62" s="15">
        <f t="shared" si="2"/>
        <v>9.0611920227920244</v>
      </c>
    </row>
    <row r="63" spans="1:8" x14ac:dyDescent="0.25">
      <c r="A63" s="36"/>
      <c r="B63" s="99" t="s">
        <v>150</v>
      </c>
      <c r="C63" s="100">
        <v>8</v>
      </c>
      <c r="D63" s="89">
        <f>VLOOKUP($B$2,'Irrigazione- suolo'!$B$24:$AK$35,HLOOKUP(VLOOKUP($D$3,Tabelle!$B$4:$C$10,2,FALSE),'Irrigazione- suolo'!$AD$22:$AK$37,16,FALSE),FALSE)</f>
        <v>-1.6615384615384615E-2</v>
      </c>
      <c r="E63" s="89">
        <f>VLOOKUP($B$2,'azoto-suolo'!$A$6:$Z$17,HLOOKUP($D$4,'azoto-suolo'!$U$5:$Z$19,15,FALSE),FALSE)</f>
        <v>0</v>
      </c>
      <c r="F63" s="89">
        <f>VLOOKUP($B$2,'semina-suolo'!$B$25:$R$36,HLOOKUP($D$2,'semina-suolo'!$M$22:$R$38,17,FALSE),FALSE)</f>
        <v>4.6296296296296301E-2</v>
      </c>
      <c r="G63" s="17">
        <f t="shared" si="0"/>
        <v>2.9680911680911685E-2</v>
      </c>
      <c r="H63" s="15">
        <f t="shared" si="2"/>
        <v>8.2374472934472927</v>
      </c>
    </row>
    <row r="64" spans="1:8" x14ac:dyDescent="0.25">
      <c r="A64" s="36"/>
      <c r="B64" s="99" t="s">
        <v>196</v>
      </c>
      <c r="C64" s="100">
        <v>7.8</v>
      </c>
      <c r="D64" s="89">
        <f>VLOOKUP($B$2,'Irrigazione- suolo'!$B$24:$AK$35,HLOOKUP(VLOOKUP($D$3,Tabelle!$B$4:$C$10,2,FALSE),'Irrigazione- suolo'!$AD$22:$AK$37,16,FALSE),FALSE)</f>
        <v>-1.6615384615384615E-2</v>
      </c>
      <c r="E64" s="89">
        <f>VLOOKUP($B$2,'azoto-suolo'!$A$6:$Z$17,HLOOKUP($D$4,'azoto-suolo'!$U$5:$Z$19,15,FALSE),FALSE)</f>
        <v>0</v>
      </c>
      <c r="F64" s="89">
        <f>VLOOKUP($B$2,'semina-suolo'!$B$25:$R$36,HLOOKUP($D$2,'semina-suolo'!$M$22:$R$38,17,FALSE),FALSE)</f>
        <v>4.6296296296296301E-2</v>
      </c>
      <c r="G64" s="17">
        <f t="shared" si="0"/>
        <v>2.9680911680911685E-2</v>
      </c>
      <c r="H64" s="15">
        <f t="shared" si="2"/>
        <v>8.0315111111111115</v>
      </c>
    </row>
    <row r="65" spans="1:8" x14ac:dyDescent="0.25">
      <c r="A65" s="36"/>
      <c r="B65" s="99" t="s">
        <v>151</v>
      </c>
      <c r="C65" s="100">
        <v>8.4</v>
      </c>
      <c r="D65" s="89">
        <f>VLOOKUP($B$2,'Irrigazione- suolo'!$B$24:$AK$35,HLOOKUP(VLOOKUP($D$3,Tabelle!$B$4:$C$10,2,FALSE),'Irrigazione- suolo'!$AD$22:$AK$37,16,FALSE),FALSE)</f>
        <v>-1.6615384615384615E-2</v>
      </c>
      <c r="E65" s="89">
        <f>VLOOKUP($B$2,'azoto-suolo'!$A$6:$Z$17,HLOOKUP($D$4,'azoto-suolo'!$U$5:$Z$19,15,FALSE),FALSE)</f>
        <v>0</v>
      </c>
      <c r="F65" s="89">
        <f>VLOOKUP($B$2,'semina-suolo'!$B$25:$R$36,HLOOKUP($D$2,'semina-suolo'!$M$22:$R$38,17,FALSE),FALSE)</f>
        <v>4.6296296296296301E-2</v>
      </c>
      <c r="G65" s="17">
        <f t="shared" si="0"/>
        <v>2.9680911680911685E-2</v>
      </c>
      <c r="H65" s="15">
        <f t="shared" si="2"/>
        <v>8.6493196581196585</v>
      </c>
    </row>
    <row r="66" spans="1:8" x14ac:dyDescent="0.25">
      <c r="A66" s="36"/>
      <c r="B66" s="99" t="s">
        <v>39</v>
      </c>
      <c r="C66" s="100">
        <v>8.1</v>
      </c>
      <c r="D66" s="89">
        <f>VLOOKUP($B$2,'Irrigazione- suolo'!$B$24:$AK$35,HLOOKUP(VLOOKUP($D$3,Tabelle!$B$4:$C$10,2,FALSE),'Irrigazione- suolo'!$AD$22:$AK$37,16,FALSE),FALSE)</f>
        <v>-1.6615384615384615E-2</v>
      </c>
      <c r="E66" s="89">
        <f>VLOOKUP($B$2,'azoto-suolo'!$A$6:$Z$17,HLOOKUP($D$4,'azoto-suolo'!$U$5:$Z$19,15,FALSE),FALSE)</f>
        <v>0</v>
      </c>
      <c r="F66" s="89">
        <f>VLOOKUP($B$2,'semina-suolo'!$B$25:$R$36,HLOOKUP($D$2,'semina-suolo'!$M$22:$R$38,17,FALSE),FALSE)</f>
        <v>4.6296296296296301E-2</v>
      </c>
      <c r="G66" s="17">
        <f t="shared" si="0"/>
        <v>2.9680911680911685E-2</v>
      </c>
      <c r="H66" s="15">
        <f t="shared" si="2"/>
        <v>8.340415384615385</v>
      </c>
    </row>
    <row r="67" spans="1:8" x14ac:dyDescent="0.25">
      <c r="A67" s="36"/>
      <c r="B67" s="99" t="s">
        <v>138</v>
      </c>
      <c r="C67" s="100">
        <v>8.1999999999999993</v>
      </c>
      <c r="D67" s="89">
        <f>VLOOKUP($B$2,'Irrigazione- suolo'!$B$24:$AK$35,HLOOKUP(VLOOKUP($D$3,Tabelle!$B$4:$C$10,2,FALSE),'Irrigazione- suolo'!$AD$22:$AK$37,16,FALSE),FALSE)</f>
        <v>-1.6615384615384615E-2</v>
      </c>
      <c r="E67" s="89">
        <f>VLOOKUP($B$2,'azoto-suolo'!$A$6:$Z$17,HLOOKUP($D$4,'azoto-suolo'!$U$5:$Z$19,15,FALSE),FALSE)</f>
        <v>0</v>
      </c>
      <c r="F67" s="89">
        <f>VLOOKUP($B$2,'semina-suolo'!$B$25:$R$36,HLOOKUP($D$2,'semina-suolo'!$M$22:$R$38,17,FALSE),FALSE)</f>
        <v>4.6296296296296301E-2</v>
      </c>
      <c r="G67" s="17">
        <f t="shared" si="0"/>
        <v>2.9680911680911685E-2</v>
      </c>
      <c r="H67" s="15">
        <f t="shared" si="2"/>
        <v>8.4433834757834756</v>
      </c>
    </row>
    <row r="68" spans="1:8" x14ac:dyDescent="0.25">
      <c r="A68" s="36"/>
      <c r="B68" s="99" t="s">
        <v>148</v>
      </c>
      <c r="C68" s="100">
        <v>7.8</v>
      </c>
      <c r="D68" s="89">
        <f>VLOOKUP($B$2,'Irrigazione- suolo'!$B$24:$AK$35,HLOOKUP(VLOOKUP($D$3,Tabelle!$B$4:$C$10,2,FALSE),'Irrigazione- suolo'!$AD$22:$AK$37,16,FALSE),FALSE)</f>
        <v>-1.6615384615384615E-2</v>
      </c>
      <c r="E68" s="89">
        <f>VLOOKUP($B$2,'azoto-suolo'!$A$6:$Z$17,HLOOKUP($D$4,'azoto-suolo'!$U$5:$Z$19,15,FALSE),FALSE)</f>
        <v>0</v>
      </c>
      <c r="F68" s="89">
        <f>VLOOKUP($B$2,'semina-suolo'!$B$25:$R$36,HLOOKUP($D$2,'semina-suolo'!$M$22:$R$38,17,FALSE),FALSE)</f>
        <v>4.6296296296296301E-2</v>
      </c>
      <c r="G68" s="17">
        <f t="shared" si="0"/>
        <v>2.9680911680911685E-2</v>
      </c>
      <c r="H68" s="15">
        <f t="shared" si="2"/>
        <v>8.0315111111111115</v>
      </c>
    </row>
    <row r="69" spans="1:8" x14ac:dyDescent="0.25">
      <c r="A69" s="36"/>
      <c r="B69" s="99" t="s">
        <v>205</v>
      </c>
      <c r="C69" s="100">
        <v>7.5</v>
      </c>
      <c r="D69" s="89">
        <f>VLOOKUP($B$2,'Irrigazione- suolo'!$B$24:$AK$35,HLOOKUP(VLOOKUP($D$3,Tabelle!$B$4:$C$10,2,FALSE),'Irrigazione- suolo'!$AD$22:$AK$37,16,FALSE),FALSE)</f>
        <v>-1.6615384615384615E-2</v>
      </c>
      <c r="E69" s="89">
        <f>VLOOKUP($B$2,'azoto-suolo'!$A$6:$Z$17,HLOOKUP($D$4,'azoto-suolo'!$U$5:$Z$19,15,FALSE),FALSE)</f>
        <v>0</v>
      </c>
      <c r="F69" s="89">
        <f>VLOOKUP($B$2,'semina-suolo'!$B$25:$R$36,HLOOKUP($D$2,'semina-suolo'!$M$22:$R$38,17,FALSE),FALSE)</f>
        <v>4.6296296296296301E-2</v>
      </c>
      <c r="G69" s="17">
        <f t="shared" si="0"/>
        <v>2.9680911680911685E-2</v>
      </c>
      <c r="H69" s="15">
        <f t="shared" si="2"/>
        <v>7.722606837606838</v>
      </c>
    </row>
    <row r="70" spans="1:8" x14ac:dyDescent="0.25">
      <c r="A70" s="36"/>
      <c r="B70" s="99" t="s">
        <v>32</v>
      </c>
      <c r="C70" s="100">
        <v>7.7</v>
      </c>
      <c r="D70" s="89">
        <f>VLOOKUP($B$2,'Irrigazione- suolo'!$B$24:$AK$35,HLOOKUP(VLOOKUP($D$3,Tabelle!$B$4:$C$10,2,FALSE),'Irrigazione- suolo'!$AD$22:$AK$37,16,FALSE),FALSE)</f>
        <v>-1.6615384615384615E-2</v>
      </c>
      <c r="E70" s="89">
        <f>VLOOKUP($B$2,'azoto-suolo'!$A$6:$Z$17,HLOOKUP($D$4,'azoto-suolo'!$U$5:$Z$19,15,FALSE),FALSE)</f>
        <v>0</v>
      </c>
      <c r="F70" s="89">
        <f>VLOOKUP($B$2,'semina-suolo'!$B$25:$R$36,HLOOKUP($D$2,'semina-suolo'!$M$22:$R$38,17,FALSE),FALSE)</f>
        <v>4.6296296296296301E-2</v>
      </c>
      <c r="G70" s="17">
        <f t="shared" si="0"/>
        <v>2.9680911680911685E-2</v>
      </c>
      <c r="H70" s="15">
        <f t="shared" si="2"/>
        <v>7.92854301994302</v>
      </c>
    </row>
    <row r="71" spans="1:8" x14ac:dyDescent="0.25">
      <c r="B71" s="99" t="s">
        <v>33</v>
      </c>
      <c r="C71" s="100">
        <v>8.6</v>
      </c>
      <c r="D71" s="89">
        <f>VLOOKUP($B$2,'Irrigazione- suolo'!$B$24:$AK$35,HLOOKUP(VLOOKUP($D$3,Tabelle!$B$4:$C$10,2,FALSE),'Irrigazione- suolo'!$AD$22:$AK$37,16,FALSE),FALSE)</f>
        <v>-1.6615384615384615E-2</v>
      </c>
      <c r="E71" s="89">
        <f>VLOOKUP($B$2,'azoto-suolo'!$A$6:$Z$17,HLOOKUP($D$4,'azoto-suolo'!$U$5:$Z$19,15,FALSE),FALSE)</f>
        <v>0</v>
      </c>
      <c r="F71" s="89">
        <f>VLOOKUP($B$2,'semina-suolo'!$B$25:$R$36,HLOOKUP($D$2,'semina-suolo'!$M$22:$R$38,17,FALSE),FALSE)</f>
        <v>4.6296296296296301E-2</v>
      </c>
      <c r="G71" s="17">
        <f t="shared" si="0"/>
        <v>2.9680911680911685E-2</v>
      </c>
      <c r="H71" s="15">
        <f t="shared" si="2"/>
        <v>8.8552558404558397</v>
      </c>
    </row>
    <row r="72" spans="1:8" x14ac:dyDescent="0.25">
      <c r="B72" s="99" t="s">
        <v>149</v>
      </c>
      <c r="C72" s="100">
        <v>7.8</v>
      </c>
      <c r="D72" s="89">
        <f>VLOOKUP($B$2,'Irrigazione- suolo'!$B$24:$AK$35,HLOOKUP(VLOOKUP($D$3,Tabelle!$B$4:$C$10,2,FALSE),'Irrigazione- suolo'!$AD$22:$AK$37,16,FALSE),FALSE)</f>
        <v>-1.6615384615384615E-2</v>
      </c>
      <c r="E72" s="89">
        <f>VLOOKUP($B$2,'azoto-suolo'!$A$6:$Z$17,HLOOKUP($D$4,'azoto-suolo'!$U$5:$Z$19,15,FALSE),FALSE)</f>
        <v>0</v>
      </c>
      <c r="F72" s="89">
        <f>VLOOKUP($B$2,'semina-suolo'!$B$25:$R$36,HLOOKUP($D$2,'semina-suolo'!$M$22:$R$38,17,FALSE),FALSE)</f>
        <v>4.6296296296296301E-2</v>
      </c>
      <c r="G72" s="17">
        <f t="shared" si="0"/>
        <v>2.9680911680911685E-2</v>
      </c>
      <c r="H72" s="15">
        <f t="shared" si="2"/>
        <v>8.0315111111111115</v>
      </c>
    </row>
    <row r="73" spans="1:8" x14ac:dyDescent="0.25">
      <c r="B73" s="99" t="s">
        <v>152</v>
      </c>
      <c r="C73" s="100">
        <v>8.3000000000000007</v>
      </c>
      <c r="D73" s="89">
        <f>VLOOKUP($B$2,'Irrigazione- suolo'!$B$24:$AK$35,HLOOKUP(VLOOKUP($D$3,Tabelle!$B$4:$C$10,2,FALSE),'Irrigazione- suolo'!$AD$22:$AK$37,16,FALSE),FALSE)</f>
        <v>-1.6615384615384615E-2</v>
      </c>
      <c r="E73" s="89">
        <f>VLOOKUP($B$2,'azoto-suolo'!$A$6:$Z$17,HLOOKUP($D$4,'azoto-suolo'!$U$5:$Z$19,15,FALSE),FALSE)</f>
        <v>0</v>
      </c>
      <c r="F73" s="89">
        <f>VLOOKUP($B$2,'semina-suolo'!$B$25:$R$36,HLOOKUP($D$2,'semina-suolo'!$M$22:$R$38,17,FALSE),FALSE)</f>
        <v>4.6296296296296301E-2</v>
      </c>
      <c r="G73" s="17">
        <f t="shared" si="0"/>
        <v>2.9680911680911685E-2</v>
      </c>
      <c r="H73" s="15">
        <f t="shared" si="2"/>
        <v>8.5463515669515679</v>
      </c>
    </row>
    <row r="74" spans="1:8" x14ac:dyDescent="0.25">
      <c r="B74" s="99" t="s">
        <v>258</v>
      </c>
      <c r="C74" s="100">
        <v>8.3000000000000007</v>
      </c>
      <c r="D74" s="89">
        <f>VLOOKUP($B$2,'Irrigazione- suolo'!$B$24:$AK$35,HLOOKUP(VLOOKUP($D$3,Tabelle!$B$4:$C$10,2,FALSE),'Irrigazione- suolo'!$AD$22:$AK$37,16,FALSE),FALSE)</f>
        <v>-1.6615384615384615E-2</v>
      </c>
      <c r="E74" s="89">
        <f>VLOOKUP($B$2,'azoto-suolo'!$A$6:$Z$17,HLOOKUP($D$4,'azoto-suolo'!$U$5:$Z$19,15,FALSE),FALSE)</f>
        <v>0</v>
      </c>
      <c r="F74" s="89">
        <f>VLOOKUP($B$2,'semina-suolo'!$B$25:$R$36,HLOOKUP($D$2,'semina-suolo'!$M$22:$R$38,17,FALSE),FALSE)</f>
        <v>4.6296296296296301E-2</v>
      </c>
      <c r="G74" s="17">
        <f t="shared" si="0"/>
        <v>2.9680911680911685E-2</v>
      </c>
      <c r="H74" s="15">
        <f t="shared" si="2"/>
        <v>8.5463515669515679</v>
      </c>
    </row>
    <row r="75" spans="1:8" x14ac:dyDescent="0.25">
      <c r="B75" s="99" t="s">
        <v>259</v>
      </c>
      <c r="C75" s="100">
        <v>8.5</v>
      </c>
      <c r="D75" s="89">
        <f>VLOOKUP($B$2,'Irrigazione- suolo'!$B$24:$AK$35,HLOOKUP(VLOOKUP($D$3,Tabelle!$B$4:$C$10,2,FALSE),'Irrigazione- suolo'!$AD$22:$AK$37,16,FALSE),FALSE)</f>
        <v>-1.6615384615384615E-2</v>
      </c>
      <c r="E75" s="89">
        <f>VLOOKUP($B$2,'azoto-suolo'!$A$6:$Z$17,HLOOKUP($D$4,'azoto-suolo'!$U$5:$Z$19,15,FALSE),FALSE)</f>
        <v>0</v>
      </c>
      <c r="F75" s="89">
        <f>VLOOKUP($B$2,'semina-suolo'!$B$25:$R$36,HLOOKUP($D$2,'semina-suolo'!$M$22:$R$38,17,FALSE),FALSE)</f>
        <v>4.6296296296296301E-2</v>
      </c>
      <c r="G75" s="17">
        <f t="shared" si="0"/>
        <v>2.9680911680911685E-2</v>
      </c>
      <c r="H75" s="15">
        <f t="shared" si="2"/>
        <v>8.7522877492877491</v>
      </c>
    </row>
    <row r="76" spans="1:8" x14ac:dyDescent="0.25">
      <c r="B76" s="99" t="s">
        <v>260</v>
      </c>
      <c r="C76" s="100">
        <v>8.1999999999999993</v>
      </c>
      <c r="D76" s="89">
        <f>VLOOKUP($B$2,'Irrigazione- suolo'!$B$24:$AK$35,HLOOKUP(VLOOKUP($D$3,Tabelle!$B$4:$C$10,2,FALSE),'Irrigazione- suolo'!$AD$22:$AK$37,16,FALSE),FALSE)</f>
        <v>-1.6615384615384615E-2</v>
      </c>
      <c r="E76" s="89">
        <f>VLOOKUP($B$2,'azoto-suolo'!$A$6:$Z$17,HLOOKUP($D$4,'azoto-suolo'!$U$5:$Z$19,15,FALSE),FALSE)</f>
        <v>0</v>
      </c>
      <c r="F76" s="89">
        <f>VLOOKUP($B$2,'semina-suolo'!$B$25:$R$36,HLOOKUP($D$2,'semina-suolo'!$M$22:$R$38,17,FALSE),FALSE)</f>
        <v>4.6296296296296301E-2</v>
      </c>
      <c r="G76" s="17">
        <f t="shared" si="0"/>
        <v>2.9680911680911685E-2</v>
      </c>
      <c r="H76" s="15">
        <f t="shared" si="2"/>
        <v>8.4433834757834756</v>
      </c>
    </row>
    <row r="77" spans="1:8" x14ac:dyDescent="0.25">
      <c r="B77" s="99" t="s">
        <v>261</v>
      </c>
      <c r="C77" s="100">
        <v>9.1999999999999993</v>
      </c>
      <c r="D77" s="89">
        <f>VLOOKUP($B$2,'Irrigazione- suolo'!$B$24:$AK$35,HLOOKUP(VLOOKUP($D$3,Tabelle!$B$4:$C$10,2,FALSE),'Irrigazione- suolo'!$AD$22:$AK$37,16,FALSE),FALSE)</f>
        <v>-1.6615384615384615E-2</v>
      </c>
      <c r="E77" s="89">
        <f>VLOOKUP($B$2,'azoto-suolo'!$A$6:$Z$17,HLOOKUP($D$4,'azoto-suolo'!$U$5:$Z$19,15,FALSE),FALSE)</f>
        <v>0</v>
      </c>
      <c r="F77" s="89">
        <f>VLOOKUP($B$2,'semina-suolo'!$B$25:$R$36,HLOOKUP($D$2,'semina-suolo'!$M$22:$R$38,17,FALSE),FALSE)</f>
        <v>4.6296296296296301E-2</v>
      </c>
      <c r="G77" s="17">
        <f t="shared" si="0"/>
        <v>2.9680911680911685E-2</v>
      </c>
      <c r="H77" s="15">
        <f t="shared" si="2"/>
        <v>9.4730643874643867</v>
      </c>
    </row>
  </sheetData>
  <autoFilter ref="A12:H70" xr:uid="{68D03214-A4D2-438D-B3F2-6D27C8AAA20D}"/>
  <pageMargins left="0.7" right="0.7" top="0.75" bottom="0.75" header="0.3" footer="0.3"/>
  <pageSetup orientation="portrait" r:id="rId1"/>
  <headerFooter>
    <oddFooter>&amp;C&amp;1#&amp;"Arial"&amp;10&amp;K000000---Internal Use---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E258AD7-078E-4DD3-8EBA-DBDF6507BFD9}">
          <x14:formula1>
            <xm:f>Tabelle!$B$3:$B$10</xm:f>
          </x14:formula1>
          <xm:sqref>D3</xm:sqref>
        </x14:dataValidation>
        <x14:dataValidation type="list" allowBlank="1" showInputMessage="1" showErrorMessage="1" xr:uid="{6F190163-1359-4ED2-9B25-D821DC55CCBB}">
          <x14:formula1>
            <xm:f>Tabelle!$L$3:$L$9</xm:f>
          </x14:formula1>
          <xm:sqref>D2</xm:sqref>
        </x14:dataValidation>
        <x14:dataValidation type="list" allowBlank="1" showInputMessage="1" showErrorMessage="1" xr:uid="{CFEA9DC2-E94C-4CEE-BD6C-9A9EE6AD420F}">
          <x14:formula1>
            <xm:f>Tabelle!$G$3:$G$9</xm:f>
          </x14:formula1>
          <xm:sqref>D4</xm:sqref>
        </x14:dataValidation>
        <x14:dataValidation type="list" allowBlank="1" showInputMessage="1" showErrorMessage="1" xr:uid="{0DCA0CAC-FFD5-4EFC-B066-6755F4A9CB68}">
          <x14:formula1>
            <xm:f>Tabelle!$E$3:$E$15</xm:f>
          </x14:formula1>
          <xm:sqref>B2</xm:sqref>
        </x14:dataValidation>
        <x14:dataValidation type="list" allowBlank="1" showInputMessage="1" showErrorMessage="1" xr:uid="{7C7D5AA8-59F4-464F-9C94-FE0F8E6603B2}">
          <x14:formula1>
            <xm:f>Tabelle!$O$3:$O$8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21A2-15E7-431A-9512-0912BDE1C8FB}">
  <dimension ref="B2:O15"/>
  <sheetViews>
    <sheetView zoomScale="85" zoomScaleNormal="85" workbookViewId="0">
      <selection activeCell="K4" sqref="K4:K9"/>
    </sheetView>
  </sheetViews>
  <sheetFormatPr defaultRowHeight="15" x14ac:dyDescent="0.25"/>
  <cols>
    <col min="2" max="3" width="20" customWidth="1"/>
    <col min="5" max="5" width="42.140625" customWidth="1"/>
    <col min="7" max="7" width="28.140625" customWidth="1"/>
    <col min="10" max="10" width="29" customWidth="1"/>
    <col min="11" max="11" width="40.7109375" customWidth="1"/>
    <col min="12" max="12" width="53.140625" customWidth="1"/>
    <col min="15" max="15" width="19.140625" customWidth="1"/>
  </cols>
  <sheetData>
    <row r="2" spans="2:15" x14ac:dyDescent="0.25">
      <c r="B2" s="54" t="s">
        <v>157</v>
      </c>
      <c r="C2" s="86" t="s">
        <v>181</v>
      </c>
      <c r="E2" s="84" t="s">
        <v>179</v>
      </c>
      <c r="G2" s="54" t="s">
        <v>163</v>
      </c>
      <c r="J2" s="54" t="s">
        <v>182</v>
      </c>
      <c r="K2" s="54" t="s">
        <v>183</v>
      </c>
      <c r="L2" s="54" t="s">
        <v>185</v>
      </c>
      <c r="O2" s="54" t="s">
        <v>193</v>
      </c>
    </row>
    <row r="3" spans="2:15" x14ac:dyDescent="0.25">
      <c r="B3" s="85"/>
      <c r="C3" s="10"/>
      <c r="E3" s="9"/>
      <c r="G3" s="10"/>
      <c r="J3" s="10"/>
      <c r="K3" s="10"/>
      <c r="L3" s="10" t="str">
        <f t="shared" ref="L3:L9" si="0">K3&amp;" - "&amp;J3</f>
        <v xml:space="preserve"> - </v>
      </c>
      <c r="O3" s="90"/>
    </row>
    <row r="4" spans="2:15" ht="30" x14ac:dyDescent="0.25">
      <c r="B4" s="85" t="s">
        <v>98</v>
      </c>
      <c r="C4" s="10" t="s">
        <v>107</v>
      </c>
      <c r="E4" s="9" t="s">
        <v>11</v>
      </c>
      <c r="G4" s="10">
        <v>350</v>
      </c>
      <c r="J4" s="10" t="s">
        <v>186</v>
      </c>
      <c r="K4" s="10" t="s">
        <v>122</v>
      </c>
      <c r="L4" s="10" t="str">
        <f t="shared" si="0"/>
        <v>semina Anticipata (prima 10 apr) - LumiGEN Premium</v>
      </c>
      <c r="O4" s="90">
        <v>0.30000000000000004</v>
      </c>
    </row>
    <row r="5" spans="2:15" ht="30" x14ac:dyDescent="0.25">
      <c r="B5" s="85" t="s">
        <v>97</v>
      </c>
      <c r="C5" s="10" t="s">
        <v>107</v>
      </c>
      <c r="E5" s="9" t="s">
        <v>13</v>
      </c>
      <c r="G5" s="10">
        <f>G4-50</f>
        <v>300</v>
      </c>
      <c r="J5" s="10" t="s">
        <v>186</v>
      </c>
      <c r="K5" s="10" t="s">
        <v>123</v>
      </c>
      <c r="L5" s="10" t="str">
        <f t="shared" si="0"/>
        <v>semina (10 apr-10 mag) - LumiGEN Premium</v>
      </c>
      <c r="O5" s="90">
        <v>0.4</v>
      </c>
    </row>
    <row r="6" spans="2:15" x14ac:dyDescent="0.25">
      <c r="B6" s="85" t="s">
        <v>111</v>
      </c>
      <c r="C6" s="10" t="s">
        <v>107</v>
      </c>
      <c r="E6" s="9" t="s">
        <v>12</v>
      </c>
      <c r="G6" s="10">
        <f>G5-50</f>
        <v>250</v>
      </c>
      <c r="J6" s="10" t="s">
        <v>186</v>
      </c>
      <c r="K6" s="10" t="s">
        <v>125</v>
      </c>
      <c r="L6" s="10" t="str">
        <f t="shared" si="0"/>
        <v>seconda semina (&gt;10 mag) - LumiGEN Premium</v>
      </c>
      <c r="O6" s="90">
        <v>0.5</v>
      </c>
    </row>
    <row r="7" spans="2:15" x14ac:dyDescent="0.25">
      <c r="B7" s="85" t="s">
        <v>104</v>
      </c>
      <c r="C7" s="10" t="s">
        <v>108</v>
      </c>
      <c r="E7" s="9" t="s">
        <v>17</v>
      </c>
      <c r="G7" s="10">
        <f>G6-50</f>
        <v>200</v>
      </c>
      <c r="J7" s="10" t="s">
        <v>187</v>
      </c>
      <c r="K7" s="10" t="s">
        <v>122</v>
      </c>
      <c r="L7" s="10" t="str">
        <f t="shared" si="0"/>
        <v>semina Anticipata (prima 10 apr) - LumiGEN Standard</v>
      </c>
      <c r="O7" s="10">
        <v>0.6</v>
      </c>
    </row>
    <row r="8" spans="2:15" ht="30" x14ac:dyDescent="0.25">
      <c r="B8" s="85" t="s">
        <v>105</v>
      </c>
      <c r="C8" s="10" t="s">
        <v>109</v>
      </c>
      <c r="E8" s="9" t="s">
        <v>14</v>
      </c>
      <c r="G8" s="10">
        <f>G7-50</f>
        <v>150</v>
      </c>
      <c r="J8" s="10" t="s">
        <v>187</v>
      </c>
      <c r="K8" s="10" t="s">
        <v>123</v>
      </c>
      <c r="L8" s="10" t="str">
        <f t="shared" si="0"/>
        <v>semina (10 apr-10 mag) - LumiGEN Standard</v>
      </c>
      <c r="O8" s="10">
        <v>0.7</v>
      </c>
    </row>
    <row r="9" spans="2:15" ht="30" x14ac:dyDescent="0.25">
      <c r="B9" s="85" t="s">
        <v>106</v>
      </c>
      <c r="C9" s="10" t="s">
        <v>110</v>
      </c>
      <c r="E9" s="9" t="s">
        <v>20</v>
      </c>
      <c r="G9" s="10">
        <f>G8-50</f>
        <v>100</v>
      </c>
      <c r="J9" s="10" t="s">
        <v>187</v>
      </c>
      <c r="K9" s="10" t="s">
        <v>125</v>
      </c>
      <c r="L9" s="10" t="str">
        <f t="shared" si="0"/>
        <v>seconda semina (&gt;10 mag) - LumiGEN Standard</v>
      </c>
    </row>
    <row r="10" spans="2:15" x14ac:dyDescent="0.25">
      <c r="B10" s="85" t="s">
        <v>112</v>
      </c>
      <c r="C10" s="10" t="s">
        <v>113</v>
      </c>
      <c r="E10" s="9" t="s">
        <v>16</v>
      </c>
    </row>
    <row r="11" spans="2:15" x14ac:dyDescent="0.25">
      <c r="E11" s="9" t="s">
        <v>15</v>
      </c>
    </row>
    <row r="12" spans="2:15" x14ac:dyDescent="0.25">
      <c r="E12" s="9" t="s">
        <v>18</v>
      </c>
    </row>
    <row r="13" spans="2:15" x14ac:dyDescent="0.25">
      <c r="E13" s="9" t="s">
        <v>19</v>
      </c>
    </row>
    <row r="14" spans="2:15" x14ac:dyDescent="0.25">
      <c r="E14" s="9" t="s">
        <v>21</v>
      </c>
    </row>
    <row r="15" spans="2:15" x14ac:dyDescent="0.25">
      <c r="E15" s="9" t="s">
        <v>22</v>
      </c>
    </row>
  </sheetData>
  <pageMargins left="0.7" right="0.7" top="0.75" bottom="0.75" header="0.3" footer="0.3"/>
  <pageSetup orientation="portrait" r:id="rId1"/>
  <headerFooter>
    <oddFooter>&amp;C&amp;1#&amp;"Arial"&amp;10&amp;K000000---Internal Use---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80B8-CFE4-4313-9FD4-4E0DAA6DB56A}">
  <dimension ref="A1:AO37"/>
  <sheetViews>
    <sheetView tabSelected="1" topLeftCell="O1" zoomScale="70" zoomScaleNormal="70" workbookViewId="0">
      <selection activeCell="R13" sqref="R13"/>
    </sheetView>
  </sheetViews>
  <sheetFormatPr defaultRowHeight="15" x14ac:dyDescent="0.25"/>
  <cols>
    <col min="1" max="1" width="38" customWidth="1"/>
    <col min="2" max="2" width="29.140625" customWidth="1"/>
    <col min="3" max="3" width="20.140625" customWidth="1"/>
    <col min="8" max="8" width="14.42578125" customWidth="1"/>
    <col min="9" max="9" width="25" customWidth="1"/>
    <col min="10" max="10" width="54.28515625" customWidth="1"/>
    <col min="11" max="11" width="19.140625" style="7" customWidth="1"/>
    <col min="12" max="12" width="21.85546875" style="7" customWidth="1"/>
    <col min="13" max="13" width="19.140625" style="7" customWidth="1"/>
    <col min="14" max="14" width="44.42578125" style="7" customWidth="1"/>
    <col min="15" max="17" width="19.140625" style="7" customWidth="1"/>
    <col min="18" max="18" width="18.5703125" customWidth="1"/>
    <col min="21" max="21" width="33.28515625" customWidth="1"/>
    <col min="22" max="22" width="14" customWidth="1"/>
    <col min="23" max="23" width="19.5703125" style="7" customWidth="1"/>
    <col min="24" max="24" width="17.28515625" style="7" customWidth="1"/>
    <col min="25" max="25" width="15.85546875" style="7" customWidth="1"/>
    <col min="26" max="29" width="9.140625" style="7"/>
    <col min="30" max="30" width="17.5703125" style="7" customWidth="1"/>
    <col min="31" max="33" width="13.28515625" style="7" customWidth="1"/>
    <col min="34" max="36" width="13.28515625" customWidth="1"/>
  </cols>
  <sheetData>
    <row r="1" spans="1:41" x14ac:dyDescent="0.25">
      <c r="N1" s="36" t="s">
        <v>157</v>
      </c>
      <c r="O1" s="10"/>
      <c r="Q1" s="110" t="s">
        <v>222</v>
      </c>
      <c r="R1" s="111" t="s">
        <v>223</v>
      </c>
      <c r="S1" s="7"/>
    </row>
    <row r="2" spans="1:41" x14ac:dyDescent="0.25">
      <c r="A2" t="s">
        <v>57</v>
      </c>
      <c r="B2" t="s">
        <v>56</v>
      </c>
      <c r="N2" s="37" t="s">
        <v>98</v>
      </c>
      <c r="O2" s="10" t="s">
        <v>107</v>
      </c>
      <c r="Q2" s="10" t="s">
        <v>226</v>
      </c>
      <c r="R2" s="10" t="s">
        <v>113</v>
      </c>
      <c r="S2" s="7"/>
    </row>
    <row r="3" spans="1:41" x14ac:dyDescent="0.25">
      <c r="A3" t="s">
        <v>58</v>
      </c>
      <c r="B3" t="s">
        <v>63</v>
      </c>
      <c r="N3" s="37" t="s">
        <v>97</v>
      </c>
      <c r="O3" s="10" t="s">
        <v>107</v>
      </c>
      <c r="Q3" s="10" t="s">
        <v>230</v>
      </c>
      <c r="R3" s="10" t="s">
        <v>107</v>
      </c>
      <c r="S3" s="7"/>
    </row>
    <row r="4" spans="1:41" x14ac:dyDescent="0.25">
      <c r="A4" t="s">
        <v>62</v>
      </c>
      <c r="N4" s="37" t="s">
        <v>111</v>
      </c>
      <c r="O4" s="10" t="s">
        <v>107</v>
      </c>
      <c r="Q4" s="10" t="s">
        <v>234</v>
      </c>
      <c r="R4" s="10" t="s">
        <v>107</v>
      </c>
      <c r="S4" s="7"/>
      <c r="Z4" s="27"/>
      <c r="AE4" s="40"/>
      <c r="AF4" s="40"/>
      <c r="AG4" s="40"/>
      <c r="AH4" s="30"/>
      <c r="AJ4" s="11"/>
      <c r="AK4" s="11"/>
      <c r="AL4" s="11"/>
      <c r="AM4" s="11"/>
      <c r="AN4" s="11"/>
      <c r="AO4" s="11"/>
    </row>
    <row r="5" spans="1:41" x14ac:dyDescent="0.25">
      <c r="A5" t="s">
        <v>59</v>
      </c>
      <c r="B5" t="s">
        <v>34</v>
      </c>
      <c r="N5" s="37" t="s">
        <v>104</v>
      </c>
      <c r="O5" s="10" t="s">
        <v>108</v>
      </c>
      <c r="Q5" s="10" t="s">
        <v>238</v>
      </c>
      <c r="R5" s="10" t="s">
        <v>107</v>
      </c>
      <c r="S5" s="7"/>
    </row>
    <row r="6" spans="1:41" x14ac:dyDescent="0.25">
      <c r="A6" t="s">
        <v>60</v>
      </c>
      <c r="N6" s="37" t="s">
        <v>105</v>
      </c>
      <c r="O6" s="10" t="s">
        <v>109</v>
      </c>
      <c r="Q6" s="10" t="s">
        <v>240</v>
      </c>
      <c r="R6" s="10" t="s">
        <v>107</v>
      </c>
      <c r="S6" s="7"/>
      <c r="Z6" s="27"/>
      <c r="AE6" s="40"/>
      <c r="AF6" s="40"/>
      <c r="AG6" s="40"/>
      <c r="AH6" s="30"/>
      <c r="AJ6" s="11"/>
      <c r="AK6" s="11"/>
      <c r="AL6" s="11"/>
      <c r="AM6" s="11"/>
      <c r="AN6" s="11"/>
      <c r="AO6" s="11"/>
    </row>
    <row r="7" spans="1:41" x14ac:dyDescent="0.25">
      <c r="A7" t="s">
        <v>61</v>
      </c>
      <c r="N7" s="37" t="s">
        <v>106</v>
      </c>
      <c r="O7" s="10" t="s">
        <v>110</v>
      </c>
      <c r="Q7" s="10" t="s">
        <v>242</v>
      </c>
      <c r="R7" s="10" t="s">
        <v>108</v>
      </c>
      <c r="S7" s="7"/>
      <c r="Z7" s="27"/>
      <c r="AE7" s="40"/>
      <c r="AF7" s="40"/>
      <c r="AG7" s="40"/>
      <c r="AH7" s="30"/>
      <c r="AJ7" s="11"/>
      <c r="AK7" s="11"/>
      <c r="AL7" s="11"/>
      <c r="AM7" s="11"/>
      <c r="AN7" s="11"/>
      <c r="AO7" s="11"/>
    </row>
    <row r="8" spans="1:41" x14ac:dyDescent="0.25">
      <c r="A8" t="s">
        <v>67</v>
      </c>
      <c r="N8" s="37" t="s">
        <v>112</v>
      </c>
      <c r="O8" s="10" t="s">
        <v>113</v>
      </c>
      <c r="Q8" s="10" t="s">
        <v>244</v>
      </c>
      <c r="R8" s="10" t="s">
        <v>107</v>
      </c>
      <c r="S8" s="7"/>
      <c r="Z8" s="27"/>
      <c r="AE8" s="40"/>
      <c r="AF8" s="40"/>
      <c r="AG8" s="40"/>
      <c r="AH8" s="30"/>
      <c r="AJ8" s="11"/>
      <c r="AK8" s="11"/>
      <c r="AL8" s="11"/>
      <c r="AM8" s="11"/>
      <c r="AN8" s="11"/>
      <c r="AO8" s="11"/>
    </row>
    <row r="9" spans="1:41" x14ac:dyDescent="0.25">
      <c r="A9" s="5" t="s">
        <v>59</v>
      </c>
      <c r="Q9" s="113" t="s">
        <v>246</v>
      </c>
      <c r="R9" s="113" t="s">
        <v>109</v>
      </c>
      <c r="S9" s="7" t="s">
        <v>247</v>
      </c>
      <c r="Z9" s="27"/>
      <c r="AE9" s="40"/>
      <c r="AF9" s="40"/>
      <c r="AG9" s="40"/>
      <c r="AH9" s="30"/>
      <c r="AJ9" s="11"/>
      <c r="AK9" s="11"/>
      <c r="AL9" s="11"/>
      <c r="AM9" s="11"/>
      <c r="AN9" s="11"/>
      <c r="AO9" s="11"/>
    </row>
    <row r="10" spans="1:41" x14ac:dyDescent="0.25">
      <c r="A10" s="5" t="s">
        <v>64</v>
      </c>
      <c r="Q10" s="113" t="s">
        <v>249</v>
      </c>
      <c r="R10" s="113" t="s">
        <v>110</v>
      </c>
      <c r="S10" s="7" t="s">
        <v>247</v>
      </c>
      <c r="Z10" s="27"/>
      <c r="AE10" s="40"/>
      <c r="AF10" s="40"/>
      <c r="AG10" s="40"/>
      <c r="AH10" s="30"/>
      <c r="AJ10" s="11"/>
      <c r="AK10" s="11"/>
      <c r="AL10" s="11"/>
      <c r="AM10" s="11"/>
      <c r="AN10" s="11"/>
      <c r="AO10" s="11"/>
    </row>
    <row r="11" spans="1:41" x14ac:dyDescent="0.25">
      <c r="A11" s="5" t="s">
        <v>65</v>
      </c>
      <c r="Z11" s="27"/>
      <c r="AE11" s="40"/>
      <c r="AF11" s="40"/>
      <c r="AG11" s="40"/>
      <c r="AH11" s="30"/>
      <c r="AJ11" s="11"/>
      <c r="AK11" s="11"/>
      <c r="AL11" s="11"/>
      <c r="AM11" s="11"/>
      <c r="AN11" s="11"/>
      <c r="AO11" s="11"/>
    </row>
    <row r="12" spans="1:41" x14ac:dyDescent="0.25">
      <c r="A12" s="5" t="s">
        <v>66</v>
      </c>
      <c r="Z12" s="27"/>
      <c r="AE12" s="40"/>
      <c r="AF12" s="40"/>
      <c r="AG12" s="40"/>
      <c r="AH12" s="30"/>
      <c r="AJ12" s="11"/>
      <c r="AK12" s="11"/>
      <c r="AL12" s="11"/>
      <c r="AM12" s="11"/>
      <c r="AN12" s="11"/>
      <c r="AO12" s="11"/>
    </row>
    <row r="13" spans="1:41" x14ac:dyDescent="0.25">
      <c r="A13" s="5"/>
      <c r="Z13" s="27"/>
      <c r="AE13" s="40"/>
      <c r="AF13" s="40"/>
      <c r="AG13" s="40"/>
      <c r="AH13" s="30"/>
      <c r="AJ13" s="11"/>
      <c r="AK13" s="11"/>
      <c r="AL13" s="11"/>
      <c r="AM13" s="11"/>
      <c r="AN13" s="11"/>
      <c r="AO13" s="11"/>
    </row>
    <row r="14" spans="1:41" x14ac:dyDescent="0.25">
      <c r="A14" s="5"/>
      <c r="Z14" s="27"/>
      <c r="AE14" s="40"/>
      <c r="AF14" s="40"/>
      <c r="AG14" s="40"/>
      <c r="AH14" s="30"/>
      <c r="AJ14" s="11"/>
      <c r="AK14" s="11"/>
      <c r="AL14" s="11"/>
      <c r="AM14" s="11"/>
      <c r="AN14" s="11"/>
      <c r="AO14" s="11"/>
    </row>
    <row r="15" spans="1:41" x14ac:dyDescent="0.25">
      <c r="A15" s="5"/>
      <c r="L15" s="7" t="s">
        <v>153</v>
      </c>
      <c r="Z15" s="27"/>
      <c r="AE15" s="40"/>
      <c r="AF15" s="40"/>
      <c r="AG15" s="40"/>
      <c r="AH15" s="30"/>
      <c r="AJ15" s="11"/>
      <c r="AK15" s="11"/>
      <c r="AL15" s="11"/>
      <c r="AM15" s="11"/>
      <c r="AN15" s="11"/>
      <c r="AO15" s="11"/>
    </row>
    <row r="16" spans="1:41" ht="105" x14ac:dyDescent="0.25">
      <c r="L16" s="28" t="s">
        <v>115</v>
      </c>
      <c r="Z16" s="27"/>
      <c r="AE16" s="19" t="s">
        <v>119</v>
      </c>
      <c r="AF16" s="41" t="s">
        <v>159</v>
      </c>
      <c r="AG16" s="41" t="s">
        <v>160</v>
      </c>
      <c r="AH16" s="30"/>
      <c r="AI16" t="s">
        <v>161</v>
      </c>
      <c r="AJ16" s="11"/>
      <c r="AK16" s="11"/>
      <c r="AL16" s="11"/>
      <c r="AM16" s="11"/>
      <c r="AN16" s="11"/>
      <c r="AO16" s="11"/>
    </row>
    <row r="17" spans="1:37" x14ac:dyDescent="0.25">
      <c r="AI17" t="s">
        <v>162</v>
      </c>
    </row>
    <row r="18" spans="1:37" x14ac:dyDescent="0.25">
      <c r="A18" s="5" t="s">
        <v>59</v>
      </c>
      <c r="V18" t="s">
        <v>158</v>
      </c>
      <c r="W18" s="7" t="s">
        <v>99</v>
      </c>
      <c r="AF18" s="39">
        <v>0.25</v>
      </c>
      <c r="AG18" s="7">
        <v>-120</v>
      </c>
    </row>
    <row r="19" spans="1:37" x14ac:dyDescent="0.25">
      <c r="J19" t="s">
        <v>156</v>
      </c>
      <c r="K19" s="29">
        <f t="shared" ref="K19:Q19" si="0">-120*(K20)+120</f>
        <v>0</v>
      </c>
      <c r="L19" s="29">
        <f t="shared" si="0"/>
        <v>0</v>
      </c>
      <c r="M19" s="29">
        <f t="shared" si="0"/>
        <v>8</v>
      </c>
      <c r="N19" s="29">
        <f t="shared" si="0"/>
        <v>72</v>
      </c>
      <c r="O19" s="29">
        <f t="shared" si="0"/>
        <v>100</v>
      </c>
      <c r="P19" s="29">
        <f t="shared" si="0"/>
        <v>0</v>
      </c>
      <c r="Q19" s="29">
        <f t="shared" si="0"/>
        <v>120</v>
      </c>
      <c r="AE19" s="27">
        <f>1.5/7*-1</f>
        <v>-0.21428571428571427</v>
      </c>
      <c r="AF19" s="39">
        <v>0.5</v>
      </c>
      <c r="AG19" s="7">
        <v>-60</v>
      </c>
    </row>
    <row r="20" spans="1:37" x14ac:dyDescent="0.25">
      <c r="J20" t="s">
        <v>155</v>
      </c>
      <c r="K20" s="27">
        <f>IF(K21&gt;1,1,K21)</f>
        <v>1</v>
      </c>
      <c r="L20" s="27">
        <f t="shared" ref="L20:Q20" si="1">IF(L21&gt;1,1,L21)</f>
        <v>1</v>
      </c>
      <c r="M20" s="27">
        <f t="shared" si="1"/>
        <v>0.93333333333333335</v>
      </c>
      <c r="N20" s="27">
        <f t="shared" si="1"/>
        <v>0.4</v>
      </c>
      <c r="O20" s="27">
        <f t="shared" si="1"/>
        <v>0.16666666666666666</v>
      </c>
      <c r="P20" s="27">
        <f t="shared" si="1"/>
        <v>1</v>
      </c>
      <c r="Q20" s="27">
        <f t="shared" si="1"/>
        <v>0</v>
      </c>
      <c r="AE20" s="39">
        <v>0</v>
      </c>
      <c r="AF20" s="39">
        <v>1</v>
      </c>
      <c r="AG20" s="7">
        <v>0</v>
      </c>
    </row>
    <row r="21" spans="1:37" ht="15.75" thickBot="1" x14ac:dyDescent="0.3">
      <c r="J21" t="s">
        <v>154</v>
      </c>
      <c r="K21" s="27">
        <f t="shared" ref="K21:Q21" si="2">K24/$J$24</f>
        <v>4</v>
      </c>
      <c r="L21" s="27">
        <f t="shared" si="2"/>
        <v>2</v>
      </c>
      <c r="M21" s="27">
        <f t="shared" si="2"/>
        <v>0.93333333333333335</v>
      </c>
      <c r="N21" s="27">
        <f t="shared" si="2"/>
        <v>0.4</v>
      </c>
      <c r="O21" s="27">
        <f t="shared" si="2"/>
        <v>0.16666666666666666</v>
      </c>
      <c r="P21" s="27">
        <f t="shared" si="2"/>
        <v>1</v>
      </c>
      <c r="Q21" s="27">
        <f t="shared" si="2"/>
        <v>0</v>
      </c>
      <c r="V21" s="7" t="s">
        <v>113</v>
      </c>
      <c r="W21" s="7" t="s">
        <v>110</v>
      </c>
      <c r="Y21" s="7" t="s">
        <v>109</v>
      </c>
      <c r="AB21" s="7" t="s">
        <v>108</v>
      </c>
      <c r="AC21" s="7" t="s">
        <v>107</v>
      </c>
      <c r="AE21" s="7" t="s">
        <v>92</v>
      </c>
    </row>
    <row r="22" spans="1:37" ht="49.5" customHeight="1" x14ac:dyDescent="0.25">
      <c r="I22" s="13" t="s">
        <v>95</v>
      </c>
      <c r="J22" s="13" t="s">
        <v>114</v>
      </c>
      <c r="K22" s="19" t="s">
        <v>107</v>
      </c>
      <c r="L22" s="19" t="s">
        <v>107</v>
      </c>
      <c r="M22" s="19" t="s">
        <v>108</v>
      </c>
      <c r="N22" s="19" t="s">
        <v>109</v>
      </c>
      <c r="O22" s="19" t="s">
        <v>110</v>
      </c>
      <c r="P22" s="19" t="s">
        <v>107</v>
      </c>
      <c r="Q22" s="19" t="s">
        <v>113</v>
      </c>
      <c r="R22" s="10">
        <v>65</v>
      </c>
      <c r="S22" s="10">
        <v>20</v>
      </c>
      <c r="T22" s="10">
        <v>15</v>
      </c>
      <c r="U22" s="38" t="s">
        <v>90</v>
      </c>
      <c r="V22" s="10">
        <v>90</v>
      </c>
      <c r="W22" s="10">
        <v>60</v>
      </c>
      <c r="X22" s="10">
        <f t="shared" ref="X22:AC22" si="3">X23/$W$23*$W$22</f>
        <v>48</v>
      </c>
      <c r="Y22" s="10">
        <f t="shared" si="3"/>
        <v>36.000000000000007</v>
      </c>
      <c r="Z22" s="10">
        <f t="shared" si="3"/>
        <v>24.000000000000004</v>
      </c>
      <c r="AA22" s="10">
        <f t="shared" si="3"/>
        <v>12.000000000000004</v>
      </c>
      <c r="AB22" s="10">
        <f t="shared" si="3"/>
        <v>6</v>
      </c>
      <c r="AC22" s="43">
        <f t="shared" si="3"/>
        <v>0</v>
      </c>
      <c r="AD22" s="51" t="s">
        <v>113</v>
      </c>
      <c r="AE22" s="52" t="s">
        <v>110</v>
      </c>
      <c r="AF22" s="52"/>
      <c r="AG22" s="52" t="s">
        <v>109</v>
      </c>
      <c r="AH22" s="52"/>
      <c r="AI22" s="52"/>
      <c r="AJ22" s="52" t="s">
        <v>108</v>
      </c>
      <c r="AK22" s="53" t="s">
        <v>107</v>
      </c>
    </row>
    <row r="23" spans="1:37" ht="45.75" thickBot="1" x14ac:dyDescent="0.3">
      <c r="A23" s="3" t="s">
        <v>24</v>
      </c>
      <c r="B23" s="3" t="s">
        <v>25</v>
      </c>
      <c r="C23" s="35" t="s">
        <v>26</v>
      </c>
      <c r="D23" s="35" t="s">
        <v>53</v>
      </c>
      <c r="E23" s="3" t="s">
        <v>69</v>
      </c>
      <c r="F23" s="3" t="s">
        <v>85</v>
      </c>
      <c r="G23" s="3" t="s">
        <v>86</v>
      </c>
      <c r="H23" s="18" t="s">
        <v>93</v>
      </c>
      <c r="I23" s="3" t="s">
        <v>94</v>
      </c>
      <c r="J23" s="20" t="s">
        <v>96</v>
      </c>
      <c r="K23" s="20" t="s">
        <v>98</v>
      </c>
      <c r="L23" s="20" t="s">
        <v>97</v>
      </c>
      <c r="M23" s="20" t="s">
        <v>104</v>
      </c>
      <c r="N23" s="20" t="s">
        <v>105</v>
      </c>
      <c r="O23" s="20" t="s">
        <v>106</v>
      </c>
      <c r="P23" s="20" t="s">
        <v>111</v>
      </c>
      <c r="Q23" s="20" t="s">
        <v>112</v>
      </c>
      <c r="V23" s="14">
        <v>1.5</v>
      </c>
      <c r="W23" s="14">
        <v>1</v>
      </c>
      <c r="X23" s="14">
        <f>W23-0.2</f>
        <v>0.8</v>
      </c>
      <c r="Y23" s="14">
        <f>X23-0.2</f>
        <v>0.60000000000000009</v>
      </c>
      <c r="Z23" s="14">
        <f>Y23-0.2</f>
        <v>0.40000000000000008</v>
      </c>
      <c r="AA23" s="14">
        <f>Z23-0.2</f>
        <v>0.20000000000000007</v>
      </c>
      <c r="AB23" s="14">
        <v>0.1</v>
      </c>
      <c r="AC23" s="44">
        <f>AA23-0.2</f>
        <v>0</v>
      </c>
      <c r="AD23" s="74">
        <v>1.5</v>
      </c>
      <c r="AE23" s="75">
        <v>1</v>
      </c>
      <c r="AF23" s="75">
        <f>AE23-0.2</f>
        <v>0.8</v>
      </c>
      <c r="AG23" s="75">
        <f>AF23-0.2</f>
        <v>0.60000000000000009</v>
      </c>
      <c r="AH23" s="75">
        <f>AG23-0.2</f>
        <v>0.40000000000000008</v>
      </c>
      <c r="AI23" s="75">
        <f>AH23-0.2</f>
        <v>0.20000000000000007</v>
      </c>
      <c r="AJ23" s="75">
        <v>0.1</v>
      </c>
      <c r="AK23" s="76">
        <f>AI23-0.2</f>
        <v>0</v>
      </c>
    </row>
    <row r="24" spans="1:37" x14ac:dyDescent="0.25">
      <c r="A24" t="s">
        <v>5</v>
      </c>
      <c r="B24" s="5" t="s">
        <v>11</v>
      </c>
      <c r="C24" s="7">
        <v>6</v>
      </c>
      <c r="D24" s="7" t="s">
        <v>28</v>
      </c>
      <c r="E24">
        <v>85</v>
      </c>
      <c r="F24">
        <v>5</v>
      </c>
      <c r="G24">
        <v>10</v>
      </c>
      <c r="H24">
        <v>80</v>
      </c>
      <c r="I24">
        <f t="shared" ref="I24:I35" si="4">H24/2</f>
        <v>40</v>
      </c>
      <c r="J24" s="7">
        <v>300</v>
      </c>
      <c r="K24" s="7">
        <f>8*150</f>
        <v>1200</v>
      </c>
      <c r="L24" s="7">
        <f>4*150</f>
        <v>600</v>
      </c>
      <c r="M24" s="7">
        <f>35*8</f>
        <v>280</v>
      </c>
      <c r="N24" s="7">
        <f>3*40</f>
        <v>120</v>
      </c>
      <c r="O24" s="7">
        <v>50</v>
      </c>
      <c r="P24" s="7">
        <f>(60/4)*20</f>
        <v>300</v>
      </c>
      <c r="Q24" s="7">
        <v>0</v>
      </c>
      <c r="R24" s="16">
        <f t="shared" ref="R24:R35" si="5">E24/$R$22</f>
        <v>1.3076923076923077</v>
      </c>
      <c r="S24" s="16">
        <f t="shared" ref="S24:S35" si="6">F24/$S$22</f>
        <v>0.25</v>
      </c>
      <c r="T24" s="16">
        <f t="shared" ref="T24:T35" si="7">G24/$T$22</f>
        <v>0.66666666666666663</v>
      </c>
      <c r="U24" s="14">
        <f t="shared" ref="U24:U35" si="8">1-R24</f>
        <v>-0.30769230769230771</v>
      </c>
      <c r="V24" s="15">
        <f t="shared" ref="V24:AC35" si="9">$R24*V$22</f>
        <v>117.69230769230769</v>
      </c>
      <c r="W24" s="15">
        <f t="shared" si="9"/>
        <v>78.461538461538467</v>
      </c>
      <c r="X24" s="15">
        <f t="shared" si="9"/>
        <v>62.769230769230774</v>
      </c>
      <c r="Y24" s="15">
        <f t="shared" si="9"/>
        <v>47.076923076923087</v>
      </c>
      <c r="Z24" s="15">
        <f t="shared" si="9"/>
        <v>31.38461538461539</v>
      </c>
      <c r="AA24" s="15">
        <f t="shared" si="9"/>
        <v>15.692307692307697</v>
      </c>
      <c r="AB24" s="15">
        <f t="shared" si="9"/>
        <v>7.8461538461538467</v>
      </c>
      <c r="AC24" s="45">
        <f t="shared" si="9"/>
        <v>0</v>
      </c>
      <c r="AD24" s="77">
        <f>0.0036*V24*(-1)</f>
        <v>-0.4236923076923077</v>
      </c>
      <c r="AE24" s="77">
        <f t="shared" ref="AE24:AE35" si="10">0.0036*W24*(-1)</f>
        <v>-0.28246153846153849</v>
      </c>
      <c r="AF24" s="77">
        <f t="shared" ref="AF24:AF35" si="11">0.0036*X24*(-1)</f>
        <v>-0.22596923076923078</v>
      </c>
      <c r="AG24" s="77">
        <f t="shared" ref="AG24:AG35" si="12">0.0036*Y24*(-1)</f>
        <v>-0.16947692307692311</v>
      </c>
      <c r="AH24" s="77">
        <f t="shared" ref="AH24:AH35" si="13">0.0036*Z24*(-1)</f>
        <v>-0.11298461538461541</v>
      </c>
      <c r="AI24" s="77">
        <f t="shared" ref="AI24:AI35" si="14">0.0036*AA24*(-1)</f>
        <v>-5.649230769230771E-2</v>
      </c>
      <c r="AJ24" s="77">
        <f t="shared" ref="AJ24:AJ35" si="15">0.0036*AB24*(-1)</f>
        <v>-2.8246153846153848E-2</v>
      </c>
      <c r="AK24" s="78">
        <f t="shared" ref="AK24:AK35" si="16">0.0036*AC24*(-1)</f>
        <v>0</v>
      </c>
    </row>
    <row r="25" spans="1:37" x14ac:dyDescent="0.25">
      <c r="A25" t="s">
        <v>4</v>
      </c>
      <c r="B25" t="s">
        <v>13</v>
      </c>
      <c r="C25" s="7">
        <v>5</v>
      </c>
      <c r="D25" s="7" t="s">
        <v>28</v>
      </c>
      <c r="E25">
        <v>70</v>
      </c>
      <c r="F25">
        <v>30</v>
      </c>
      <c r="G25">
        <v>0</v>
      </c>
      <c r="H25">
        <v>90</v>
      </c>
      <c r="I25">
        <f t="shared" si="4"/>
        <v>45</v>
      </c>
      <c r="J25" s="7">
        <v>300</v>
      </c>
      <c r="K25" s="7">
        <f t="shared" ref="K25:K35" si="17">8*150</f>
        <v>1200</v>
      </c>
      <c r="L25" s="7">
        <f t="shared" ref="L25:L35" si="18">4*150</f>
        <v>600</v>
      </c>
      <c r="M25" s="7">
        <f t="shared" ref="M25:M35" si="19">35*8</f>
        <v>280</v>
      </c>
      <c r="N25" s="7">
        <f t="shared" ref="N25:N35" si="20">3*40</f>
        <v>120</v>
      </c>
      <c r="O25" s="7">
        <v>50</v>
      </c>
      <c r="P25" s="7">
        <f t="shared" ref="P25:P35" si="21">(60/4)*20</f>
        <v>300</v>
      </c>
      <c r="Q25" s="7">
        <v>0</v>
      </c>
      <c r="R25" s="16">
        <f t="shared" si="5"/>
        <v>1.0769230769230769</v>
      </c>
      <c r="S25" s="16">
        <f t="shared" si="6"/>
        <v>1.5</v>
      </c>
      <c r="T25" s="16">
        <f t="shared" si="7"/>
        <v>0</v>
      </c>
      <c r="U25" s="14">
        <f t="shared" si="8"/>
        <v>-7.6923076923076872E-2</v>
      </c>
      <c r="V25" s="15">
        <f t="shared" si="9"/>
        <v>96.92307692307692</v>
      </c>
      <c r="W25" s="15">
        <f t="shared" si="9"/>
        <v>64.615384615384613</v>
      </c>
      <c r="X25" s="15">
        <f t="shared" si="9"/>
        <v>51.692307692307693</v>
      </c>
      <c r="Y25" s="15">
        <f t="shared" si="9"/>
        <v>38.769230769230774</v>
      </c>
      <c r="Z25" s="15">
        <f t="shared" si="9"/>
        <v>25.84615384615385</v>
      </c>
      <c r="AA25" s="15">
        <f t="shared" si="9"/>
        <v>12.923076923076927</v>
      </c>
      <c r="AB25" s="15">
        <f t="shared" si="9"/>
        <v>6.4615384615384617</v>
      </c>
      <c r="AC25" s="45">
        <f t="shared" si="9"/>
        <v>0</v>
      </c>
      <c r="AD25" s="46">
        <f t="shared" ref="AD25:AD35" si="22">0.0036*V25*(-1)</f>
        <v>-0.34892307692307689</v>
      </c>
      <c r="AE25" s="46">
        <f t="shared" si="10"/>
        <v>-0.23261538461538461</v>
      </c>
      <c r="AF25" s="46">
        <f t="shared" si="11"/>
        <v>-0.1860923076923077</v>
      </c>
      <c r="AG25" s="46">
        <f t="shared" si="12"/>
        <v>-0.13956923076923078</v>
      </c>
      <c r="AH25" s="46">
        <f t="shared" si="13"/>
        <v>-9.3046153846153862E-2</v>
      </c>
      <c r="AI25" s="46">
        <f t="shared" si="14"/>
        <v>-4.6523076923076938E-2</v>
      </c>
      <c r="AJ25" s="87">
        <f t="shared" si="15"/>
        <v>-2.3261538461538462E-2</v>
      </c>
      <c r="AK25" s="79">
        <f t="shared" si="16"/>
        <v>0</v>
      </c>
    </row>
    <row r="26" spans="1:37" x14ac:dyDescent="0.25">
      <c r="A26" t="s">
        <v>2</v>
      </c>
      <c r="B26" t="s">
        <v>12</v>
      </c>
      <c r="C26" s="7">
        <v>3</v>
      </c>
      <c r="D26" s="7" t="s">
        <v>28</v>
      </c>
      <c r="E26">
        <v>85</v>
      </c>
      <c r="F26">
        <v>15</v>
      </c>
      <c r="G26">
        <v>0</v>
      </c>
      <c r="H26">
        <v>130</v>
      </c>
      <c r="I26">
        <f t="shared" si="4"/>
        <v>65</v>
      </c>
      <c r="J26" s="7">
        <v>300</v>
      </c>
      <c r="K26" s="7">
        <f t="shared" si="17"/>
        <v>1200</v>
      </c>
      <c r="L26" s="7">
        <f t="shared" si="18"/>
        <v>600</v>
      </c>
      <c r="M26" s="7">
        <f t="shared" si="19"/>
        <v>280</v>
      </c>
      <c r="N26" s="7">
        <f t="shared" si="20"/>
        <v>120</v>
      </c>
      <c r="O26" s="7">
        <v>50</v>
      </c>
      <c r="P26" s="7">
        <f t="shared" si="21"/>
        <v>300</v>
      </c>
      <c r="Q26" s="7">
        <v>0</v>
      </c>
      <c r="R26" s="16">
        <f t="shared" si="5"/>
        <v>1.3076923076923077</v>
      </c>
      <c r="S26" s="16">
        <f t="shared" si="6"/>
        <v>0.75</v>
      </c>
      <c r="T26" s="16">
        <f t="shared" si="7"/>
        <v>0</v>
      </c>
      <c r="U26" s="14">
        <f t="shared" si="8"/>
        <v>-0.30769230769230771</v>
      </c>
      <c r="V26" s="15">
        <f t="shared" si="9"/>
        <v>117.69230769230769</v>
      </c>
      <c r="W26" s="15">
        <f t="shared" si="9"/>
        <v>78.461538461538467</v>
      </c>
      <c r="X26" s="15">
        <f t="shared" si="9"/>
        <v>62.769230769230774</v>
      </c>
      <c r="Y26" s="15">
        <f t="shared" si="9"/>
        <v>47.076923076923087</v>
      </c>
      <c r="Z26" s="15">
        <f t="shared" si="9"/>
        <v>31.38461538461539</v>
      </c>
      <c r="AA26" s="15">
        <f t="shared" si="9"/>
        <v>15.692307692307697</v>
      </c>
      <c r="AB26" s="15">
        <f t="shared" si="9"/>
        <v>7.8461538461538467</v>
      </c>
      <c r="AC26" s="45">
        <f t="shared" si="9"/>
        <v>0</v>
      </c>
      <c r="AD26" s="46">
        <f t="shared" si="22"/>
        <v>-0.4236923076923077</v>
      </c>
      <c r="AE26" s="46">
        <f t="shared" si="10"/>
        <v>-0.28246153846153849</v>
      </c>
      <c r="AF26" s="46">
        <f t="shared" si="11"/>
        <v>-0.22596923076923078</v>
      </c>
      <c r="AG26" s="46">
        <f t="shared" si="12"/>
        <v>-0.16947692307692311</v>
      </c>
      <c r="AH26" s="46">
        <f t="shared" si="13"/>
        <v>-0.11298461538461541</v>
      </c>
      <c r="AI26" s="46">
        <f t="shared" si="14"/>
        <v>-5.649230769230771E-2</v>
      </c>
      <c r="AJ26" s="46">
        <f t="shared" si="15"/>
        <v>-2.8246153846153848E-2</v>
      </c>
      <c r="AK26" s="79">
        <f t="shared" si="16"/>
        <v>0</v>
      </c>
    </row>
    <row r="27" spans="1:37" x14ac:dyDescent="0.25">
      <c r="A27" t="s">
        <v>0</v>
      </c>
      <c r="B27" t="s">
        <v>17</v>
      </c>
      <c r="C27" s="7">
        <v>1</v>
      </c>
      <c r="D27" s="7" t="s">
        <v>54</v>
      </c>
      <c r="E27">
        <v>50</v>
      </c>
      <c r="F27">
        <v>20</v>
      </c>
      <c r="G27">
        <v>30</v>
      </c>
      <c r="H27">
        <v>155</v>
      </c>
      <c r="I27">
        <f t="shared" si="4"/>
        <v>77.5</v>
      </c>
      <c r="J27" s="7">
        <v>300</v>
      </c>
      <c r="K27" s="7">
        <f t="shared" si="17"/>
        <v>1200</v>
      </c>
      <c r="L27" s="7">
        <f t="shared" si="18"/>
        <v>600</v>
      </c>
      <c r="M27" s="7">
        <f t="shared" si="19"/>
        <v>280</v>
      </c>
      <c r="N27" s="7">
        <f t="shared" si="20"/>
        <v>120</v>
      </c>
      <c r="O27" s="7">
        <v>50</v>
      </c>
      <c r="P27" s="7">
        <f t="shared" si="21"/>
        <v>300</v>
      </c>
      <c r="Q27" s="7">
        <v>0</v>
      </c>
      <c r="R27" s="16">
        <f t="shared" si="5"/>
        <v>0.76923076923076927</v>
      </c>
      <c r="S27" s="16">
        <f t="shared" si="6"/>
        <v>1</v>
      </c>
      <c r="T27" s="16">
        <f t="shared" si="7"/>
        <v>2</v>
      </c>
      <c r="U27" s="14">
        <f t="shared" si="8"/>
        <v>0.23076923076923073</v>
      </c>
      <c r="V27" s="15">
        <f t="shared" si="9"/>
        <v>69.230769230769241</v>
      </c>
      <c r="W27" s="15">
        <f t="shared" si="9"/>
        <v>46.153846153846153</v>
      </c>
      <c r="X27" s="15">
        <f t="shared" si="9"/>
        <v>36.923076923076927</v>
      </c>
      <c r="Y27" s="15">
        <f t="shared" si="9"/>
        <v>27.692307692307701</v>
      </c>
      <c r="Z27" s="15">
        <f t="shared" si="9"/>
        <v>18.461538461538467</v>
      </c>
      <c r="AA27" s="15">
        <f t="shared" si="9"/>
        <v>9.2307692307692335</v>
      </c>
      <c r="AB27" s="15">
        <f t="shared" si="9"/>
        <v>4.6153846153846159</v>
      </c>
      <c r="AC27" s="45">
        <f t="shared" si="9"/>
        <v>0</v>
      </c>
      <c r="AD27" s="46">
        <f t="shared" si="22"/>
        <v>-0.24923076923076926</v>
      </c>
      <c r="AE27" s="46">
        <f t="shared" si="10"/>
        <v>-0.16615384615384615</v>
      </c>
      <c r="AF27" s="46">
        <f t="shared" si="11"/>
        <v>-0.13292307692307692</v>
      </c>
      <c r="AG27" s="46">
        <f t="shared" si="12"/>
        <v>-9.9692307692307719E-2</v>
      </c>
      <c r="AH27" s="46">
        <f t="shared" si="13"/>
        <v>-6.6461538461538475E-2</v>
      </c>
      <c r="AI27" s="46">
        <f t="shared" si="14"/>
        <v>-3.3230769230769237E-2</v>
      </c>
      <c r="AJ27" s="46">
        <f t="shared" si="15"/>
        <v>-1.6615384615384615E-2</v>
      </c>
      <c r="AK27" s="79">
        <f t="shared" si="16"/>
        <v>0</v>
      </c>
    </row>
    <row r="28" spans="1:37" x14ac:dyDescent="0.25">
      <c r="A28" t="s">
        <v>1</v>
      </c>
      <c r="B28" t="s">
        <v>14</v>
      </c>
      <c r="C28" s="7">
        <v>2</v>
      </c>
      <c r="D28" s="7" t="s">
        <v>27</v>
      </c>
      <c r="E28">
        <v>55</v>
      </c>
      <c r="F28">
        <v>30</v>
      </c>
      <c r="G28">
        <v>15</v>
      </c>
      <c r="H28">
        <v>155</v>
      </c>
      <c r="I28">
        <f t="shared" si="4"/>
        <v>77.5</v>
      </c>
      <c r="J28" s="7">
        <v>300</v>
      </c>
      <c r="K28" s="7">
        <f t="shared" si="17"/>
        <v>1200</v>
      </c>
      <c r="L28" s="7">
        <f t="shared" si="18"/>
        <v>600</v>
      </c>
      <c r="M28" s="7">
        <f t="shared" si="19"/>
        <v>280</v>
      </c>
      <c r="N28" s="7">
        <f t="shared" si="20"/>
        <v>120</v>
      </c>
      <c r="O28" s="7">
        <v>50</v>
      </c>
      <c r="P28" s="7">
        <f t="shared" si="21"/>
        <v>300</v>
      </c>
      <c r="Q28" s="7">
        <v>0</v>
      </c>
      <c r="R28" s="16">
        <f t="shared" si="5"/>
        <v>0.84615384615384615</v>
      </c>
      <c r="S28" s="16">
        <f t="shared" si="6"/>
        <v>1.5</v>
      </c>
      <c r="T28" s="16">
        <f t="shared" si="7"/>
        <v>1</v>
      </c>
      <c r="U28" s="14">
        <f t="shared" si="8"/>
        <v>0.15384615384615385</v>
      </c>
      <c r="V28" s="15">
        <f t="shared" si="9"/>
        <v>76.153846153846146</v>
      </c>
      <c r="W28" s="15">
        <f t="shared" si="9"/>
        <v>50.769230769230766</v>
      </c>
      <c r="X28" s="15">
        <f t="shared" si="9"/>
        <v>40.615384615384613</v>
      </c>
      <c r="Y28" s="15">
        <f t="shared" si="9"/>
        <v>30.461538461538467</v>
      </c>
      <c r="Z28" s="15">
        <f t="shared" si="9"/>
        <v>20.30769230769231</v>
      </c>
      <c r="AA28" s="15">
        <f t="shared" si="9"/>
        <v>10.153846153846157</v>
      </c>
      <c r="AB28" s="15">
        <f t="shared" si="9"/>
        <v>5.0769230769230766</v>
      </c>
      <c r="AC28" s="45">
        <f t="shared" si="9"/>
        <v>0</v>
      </c>
      <c r="AD28" s="46">
        <f t="shared" si="22"/>
        <v>-0.27415384615384614</v>
      </c>
      <c r="AE28" s="46">
        <f t="shared" si="10"/>
        <v>-0.18276923076923077</v>
      </c>
      <c r="AF28" s="46">
        <f t="shared" si="11"/>
        <v>-0.14621538461538461</v>
      </c>
      <c r="AG28" s="46">
        <f t="shared" si="12"/>
        <v>-0.10966153846153848</v>
      </c>
      <c r="AH28" s="46">
        <f t="shared" si="13"/>
        <v>-7.3107692307692318E-2</v>
      </c>
      <c r="AI28" s="46">
        <f t="shared" si="14"/>
        <v>-3.6553846153846166E-2</v>
      </c>
      <c r="AJ28" s="46">
        <f t="shared" si="15"/>
        <v>-1.8276923076923076E-2</v>
      </c>
      <c r="AK28" s="79">
        <f t="shared" si="16"/>
        <v>0</v>
      </c>
    </row>
    <row r="29" spans="1:37" x14ac:dyDescent="0.25">
      <c r="A29" t="s">
        <v>8</v>
      </c>
      <c r="B29" t="s">
        <v>20</v>
      </c>
      <c r="C29" s="7">
        <v>9</v>
      </c>
      <c r="D29" s="7" t="s">
        <v>54</v>
      </c>
      <c r="E29">
        <v>20</v>
      </c>
      <c r="F29">
        <v>55</v>
      </c>
      <c r="G29">
        <v>25</v>
      </c>
      <c r="H29">
        <v>155</v>
      </c>
      <c r="I29">
        <f t="shared" si="4"/>
        <v>77.5</v>
      </c>
      <c r="J29" s="7">
        <v>300</v>
      </c>
      <c r="K29" s="7">
        <f t="shared" si="17"/>
        <v>1200</v>
      </c>
      <c r="L29" s="7">
        <f t="shared" si="18"/>
        <v>600</v>
      </c>
      <c r="M29" s="7">
        <f t="shared" si="19"/>
        <v>280</v>
      </c>
      <c r="N29" s="7">
        <f t="shared" si="20"/>
        <v>120</v>
      </c>
      <c r="O29" s="7">
        <v>50</v>
      </c>
      <c r="P29" s="7">
        <f t="shared" si="21"/>
        <v>300</v>
      </c>
      <c r="Q29" s="7">
        <v>0</v>
      </c>
      <c r="R29" s="16">
        <f t="shared" si="5"/>
        <v>0.30769230769230771</v>
      </c>
      <c r="S29" s="16">
        <f t="shared" si="6"/>
        <v>2.75</v>
      </c>
      <c r="T29" s="16">
        <f t="shared" si="7"/>
        <v>1.6666666666666667</v>
      </c>
      <c r="U29" s="14">
        <f t="shared" si="8"/>
        <v>0.69230769230769229</v>
      </c>
      <c r="V29" s="15">
        <f t="shared" si="9"/>
        <v>27.692307692307693</v>
      </c>
      <c r="W29" s="15">
        <f t="shared" si="9"/>
        <v>18.461538461538463</v>
      </c>
      <c r="X29" s="15">
        <f t="shared" si="9"/>
        <v>14.76923076923077</v>
      </c>
      <c r="Y29" s="15">
        <f t="shared" si="9"/>
        <v>11.07692307692308</v>
      </c>
      <c r="Z29" s="15">
        <f t="shared" si="9"/>
        <v>7.3846153846153859</v>
      </c>
      <c r="AA29" s="15">
        <f t="shared" si="9"/>
        <v>3.6923076923076934</v>
      </c>
      <c r="AB29" s="15">
        <f t="shared" si="9"/>
        <v>1.8461538461538463</v>
      </c>
      <c r="AC29" s="45">
        <f t="shared" si="9"/>
        <v>0</v>
      </c>
      <c r="AD29" s="46">
        <f t="shared" si="22"/>
        <v>-9.9692307692307691E-2</v>
      </c>
      <c r="AE29" s="46">
        <f t="shared" si="10"/>
        <v>-6.6461538461538461E-2</v>
      </c>
      <c r="AF29" s="46">
        <f t="shared" si="11"/>
        <v>-5.3169230769230774E-2</v>
      </c>
      <c r="AG29" s="46">
        <f t="shared" si="12"/>
        <v>-3.9876923076923088E-2</v>
      </c>
      <c r="AH29" s="46">
        <f t="shared" si="13"/>
        <v>-2.6584615384615387E-2</v>
      </c>
      <c r="AI29" s="46">
        <f t="shared" si="14"/>
        <v>-1.3292307692307695E-2</v>
      </c>
      <c r="AJ29" s="46">
        <f t="shared" si="15"/>
        <v>-6.6461538461538468E-3</v>
      </c>
      <c r="AK29" s="79">
        <f t="shared" si="16"/>
        <v>0</v>
      </c>
    </row>
    <row r="30" spans="1:37" x14ac:dyDescent="0.25">
      <c r="A30" t="s">
        <v>9</v>
      </c>
      <c r="B30" t="s">
        <v>16</v>
      </c>
      <c r="C30" s="7">
        <v>11</v>
      </c>
      <c r="D30" s="7" t="s">
        <v>54</v>
      </c>
      <c r="E30">
        <v>45</v>
      </c>
      <c r="F30">
        <v>30</v>
      </c>
      <c r="G30">
        <v>25</v>
      </c>
      <c r="H30">
        <v>155</v>
      </c>
      <c r="I30">
        <f t="shared" si="4"/>
        <v>77.5</v>
      </c>
      <c r="J30" s="7">
        <v>300</v>
      </c>
      <c r="K30" s="7">
        <f t="shared" si="17"/>
        <v>1200</v>
      </c>
      <c r="L30" s="7">
        <f t="shared" si="18"/>
        <v>600</v>
      </c>
      <c r="M30" s="7">
        <f t="shared" si="19"/>
        <v>280</v>
      </c>
      <c r="N30" s="7">
        <f t="shared" si="20"/>
        <v>120</v>
      </c>
      <c r="O30" s="7">
        <v>50</v>
      </c>
      <c r="P30" s="7">
        <f t="shared" si="21"/>
        <v>300</v>
      </c>
      <c r="Q30" s="7">
        <v>0</v>
      </c>
      <c r="R30" s="16">
        <f t="shared" si="5"/>
        <v>0.69230769230769229</v>
      </c>
      <c r="S30" s="16">
        <f t="shared" si="6"/>
        <v>1.5</v>
      </c>
      <c r="T30" s="16">
        <f t="shared" si="7"/>
        <v>1.6666666666666667</v>
      </c>
      <c r="U30" s="14">
        <f t="shared" si="8"/>
        <v>0.30769230769230771</v>
      </c>
      <c r="V30" s="15">
        <f t="shared" si="9"/>
        <v>62.307692307692307</v>
      </c>
      <c r="W30" s="15">
        <f t="shared" si="9"/>
        <v>41.53846153846154</v>
      </c>
      <c r="X30" s="15">
        <f t="shared" si="9"/>
        <v>33.230769230769226</v>
      </c>
      <c r="Y30" s="15">
        <f t="shared" si="9"/>
        <v>24.923076923076927</v>
      </c>
      <c r="Z30" s="15">
        <f t="shared" si="9"/>
        <v>16.615384615384617</v>
      </c>
      <c r="AA30" s="15">
        <f t="shared" si="9"/>
        <v>8.3076923076923102</v>
      </c>
      <c r="AB30" s="15">
        <f t="shared" si="9"/>
        <v>4.1538461538461533</v>
      </c>
      <c r="AC30" s="45">
        <f t="shared" si="9"/>
        <v>0</v>
      </c>
      <c r="AD30" s="46">
        <f t="shared" si="22"/>
        <v>-0.22430769230769229</v>
      </c>
      <c r="AE30" s="46">
        <f t="shared" si="10"/>
        <v>-0.14953846153846154</v>
      </c>
      <c r="AF30" s="46">
        <f t="shared" si="11"/>
        <v>-0.11963076923076921</v>
      </c>
      <c r="AG30" s="46">
        <f t="shared" si="12"/>
        <v>-8.9723076923076933E-2</v>
      </c>
      <c r="AH30" s="46">
        <f t="shared" si="13"/>
        <v>-5.9815384615384617E-2</v>
      </c>
      <c r="AI30" s="46">
        <f t="shared" si="14"/>
        <v>-2.9907692307692316E-2</v>
      </c>
      <c r="AJ30" s="46">
        <f t="shared" si="15"/>
        <v>-1.4953846153846151E-2</v>
      </c>
      <c r="AK30" s="79">
        <f t="shared" si="16"/>
        <v>0</v>
      </c>
    </row>
    <row r="31" spans="1:37" x14ac:dyDescent="0.25">
      <c r="A31" t="s">
        <v>3</v>
      </c>
      <c r="B31" t="s">
        <v>15</v>
      </c>
      <c r="C31" s="7">
        <v>4</v>
      </c>
      <c r="D31" s="7" t="s">
        <v>54</v>
      </c>
      <c r="E31">
        <v>50</v>
      </c>
      <c r="F31">
        <v>50</v>
      </c>
      <c r="G31">
        <v>0</v>
      </c>
      <c r="H31">
        <v>160</v>
      </c>
      <c r="I31">
        <f t="shared" si="4"/>
        <v>80</v>
      </c>
      <c r="J31" s="7">
        <v>300</v>
      </c>
      <c r="K31" s="7">
        <f t="shared" si="17"/>
        <v>1200</v>
      </c>
      <c r="L31" s="7">
        <f t="shared" si="18"/>
        <v>600</v>
      </c>
      <c r="M31" s="7">
        <f t="shared" si="19"/>
        <v>280</v>
      </c>
      <c r="N31" s="7">
        <f t="shared" si="20"/>
        <v>120</v>
      </c>
      <c r="O31" s="7">
        <v>50</v>
      </c>
      <c r="P31" s="7">
        <f t="shared" si="21"/>
        <v>300</v>
      </c>
      <c r="Q31" s="7">
        <v>0</v>
      </c>
      <c r="R31" s="16">
        <f t="shared" si="5"/>
        <v>0.76923076923076927</v>
      </c>
      <c r="S31" s="16">
        <f t="shared" si="6"/>
        <v>2.5</v>
      </c>
      <c r="T31" s="16">
        <f t="shared" si="7"/>
        <v>0</v>
      </c>
      <c r="U31" s="14">
        <f t="shared" si="8"/>
        <v>0.23076923076923073</v>
      </c>
      <c r="V31" s="15">
        <f t="shared" si="9"/>
        <v>69.230769230769241</v>
      </c>
      <c r="W31" s="15">
        <f t="shared" si="9"/>
        <v>46.153846153846153</v>
      </c>
      <c r="X31" s="15">
        <f t="shared" si="9"/>
        <v>36.923076923076927</v>
      </c>
      <c r="Y31" s="15">
        <f t="shared" si="9"/>
        <v>27.692307692307701</v>
      </c>
      <c r="Z31" s="15">
        <f t="shared" si="9"/>
        <v>18.461538461538467</v>
      </c>
      <c r="AA31" s="15">
        <f t="shared" si="9"/>
        <v>9.2307692307692335</v>
      </c>
      <c r="AB31" s="15">
        <f t="shared" si="9"/>
        <v>4.6153846153846159</v>
      </c>
      <c r="AC31" s="45">
        <f t="shared" si="9"/>
        <v>0</v>
      </c>
      <c r="AD31" s="46">
        <f t="shared" si="22"/>
        <v>-0.24923076923076926</v>
      </c>
      <c r="AE31" s="46">
        <f t="shared" si="10"/>
        <v>-0.16615384615384615</v>
      </c>
      <c r="AF31" s="46">
        <f t="shared" si="11"/>
        <v>-0.13292307692307692</v>
      </c>
      <c r="AG31" s="46">
        <f t="shared" si="12"/>
        <v>-9.9692307692307719E-2</v>
      </c>
      <c r="AH31" s="46">
        <f t="shared" si="13"/>
        <v>-6.6461538461538475E-2</v>
      </c>
      <c r="AI31" s="46">
        <f t="shared" si="14"/>
        <v>-3.3230769230769237E-2</v>
      </c>
      <c r="AJ31" s="46">
        <f t="shared" si="15"/>
        <v>-1.6615384615384615E-2</v>
      </c>
      <c r="AK31" s="79">
        <f t="shared" si="16"/>
        <v>0</v>
      </c>
    </row>
    <row r="32" spans="1:37" x14ac:dyDescent="0.25">
      <c r="A32" t="s">
        <v>6</v>
      </c>
      <c r="B32" s="5" t="s">
        <v>18</v>
      </c>
      <c r="C32" s="7">
        <v>7</v>
      </c>
      <c r="D32" s="7" t="s">
        <v>54</v>
      </c>
      <c r="E32">
        <v>45</v>
      </c>
      <c r="F32">
        <v>15</v>
      </c>
      <c r="G32">
        <v>40</v>
      </c>
      <c r="H32">
        <v>160</v>
      </c>
      <c r="I32">
        <f t="shared" si="4"/>
        <v>80</v>
      </c>
      <c r="J32" s="7">
        <v>300</v>
      </c>
      <c r="K32" s="7">
        <f t="shared" si="17"/>
        <v>1200</v>
      </c>
      <c r="L32" s="7">
        <f t="shared" si="18"/>
        <v>600</v>
      </c>
      <c r="M32" s="7">
        <f t="shared" si="19"/>
        <v>280</v>
      </c>
      <c r="N32" s="7">
        <f t="shared" si="20"/>
        <v>120</v>
      </c>
      <c r="O32" s="7">
        <v>50</v>
      </c>
      <c r="P32" s="7">
        <f t="shared" si="21"/>
        <v>300</v>
      </c>
      <c r="Q32" s="7">
        <v>0</v>
      </c>
      <c r="R32" s="16">
        <f t="shared" si="5"/>
        <v>0.69230769230769229</v>
      </c>
      <c r="S32" s="16">
        <f t="shared" si="6"/>
        <v>0.75</v>
      </c>
      <c r="T32" s="16">
        <f t="shared" si="7"/>
        <v>2.6666666666666665</v>
      </c>
      <c r="U32" s="14">
        <f t="shared" si="8"/>
        <v>0.30769230769230771</v>
      </c>
      <c r="V32" s="15">
        <f t="shared" si="9"/>
        <v>62.307692307692307</v>
      </c>
      <c r="W32" s="15">
        <f t="shared" si="9"/>
        <v>41.53846153846154</v>
      </c>
      <c r="X32" s="15">
        <f t="shared" si="9"/>
        <v>33.230769230769226</v>
      </c>
      <c r="Y32" s="15">
        <f t="shared" si="9"/>
        <v>24.923076923076927</v>
      </c>
      <c r="Z32" s="15">
        <f t="shared" si="9"/>
        <v>16.615384615384617</v>
      </c>
      <c r="AA32" s="15">
        <f t="shared" si="9"/>
        <v>8.3076923076923102</v>
      </c>
      <c r="AB32" s="15">
        <f t="shared" si="9"/>
        <v>4.1538461538461533</v>
      </c>
      <c r="AC32" s="45">
        <f t="shared" si="9"/>
        <v>0</v>
      </c>
      <c r="AD32" s="46">
        <f t="shared" si="22"/>
        <v>-0.22430769230769229</v>
      </c>
      <c r="AE32" s="46">
        <f t="shared" si="10"/>
        <v>-0.14953846153846154</v>
      </c>
      <c r="AF32" s="46">
        <f t="shared" si="11"/>
        <v>-0.11963076923076921</v>
      </c>
      <c r="AG32" s="46">
        <f t="shared" si="12"/>
        <v>-8.9723076923076933E-2</v>
      </c>
      <c r="AH32" s="46">
        <f t="shared" si="13"/>
        <v>-5.9815384615384617E-2</v>
      </c>
      <c r="AI32" s="46">
        <f t="shared" si="14"/>
        <v>-2.9907692307692316E-2</v>
      </c>
      <c r="AJ32" s="46">
        <f t="shared" si="15"/>
        <v>-1.4953846153846151E-2</v>
      </c>
      <c r="AK32" s="79">
        <f t="shared" si="16"/>
        <v>0</v>
      </c>
    </row>
    <row r="33" spans="1:37" x14ac:dyDescent="0.25">
      <c r="A33" t="s">
        <v>7</v>
      </c>
      <c r="B33" t="s">
        <v>19</v>
      </c>
      <c r="C33" s="7">
        <v>8</v>
      </c>
      <c r="D33" s="7" t="s">
        <v>54</v>
      </c>
      <c r="E33">
        <v>20</v>
      </c>
      <c r="F33">
        <v>40</v>
      </c>
      <c r="G33">
        <v>40</v>
      </c>
      <c r="H33">
        <v>160</v>
      </c>
      <c r="I33">
        <f t="shared" si="4"/>
        <v>80</v>
      </c>
      <c r="J33" s="7">
        <v>300</v>
      </c>
      <c r="K33" s="7">
        <f t="shared" si="17"/>
        <v>1200</v>
      </c>
      <c r="L33" s="7">
        <f t="shared" si="18"/>
        <v>600</v>
      </c>
      <c r="M33" s="7">
        <f t="shared" si="19"/>
        <v>280</v>
      </c>
      <c r="N33" s="7">
        <f t="shared" si="20"/>
        <v>120</v>
      </c>
      <c r="O33" s="7">
        <v>50</v>
      </c>
      <c r="P33" s="7">
        <f t="shared" si="21"/>
        <v>300</v>
      </c>
      <c r="Q33" s="7">
        <v>0</v>
      </c>
      <c r="R33" s="16">
        <f t="shared" si="5"/>
        <v>0.30769230769230771</v>
      </c>
      <c r="S33" s="16">
        <f t="shared" si="6"/>
        <v>2</v>
      </c>
      <c r="T33" s="16">
        <f t="shared" si="7"/>
        <v>2.6666666666666665</v>
      </c>
      <c r="U33" s="14">
        <f t="shared" si="8"/>
        <v>0.69230769230769229</v>
      </c>
      <c r="V33" s="15">
        <f t="shared" si="9"/>
        <v>27.692307692307693</v>
      </c>
      <c r="W33" s="15">
        <f t="shared" si="9"/>
        <v>18.461538461538463</v>
      </c>
      <c r="X33" s="15">
        <f t="shared" si="9"/>
        <v>14.76923076923077</v>
      </c>
      <c r="Y33" s="15">
        <f t="shared" si="9"/>
        <v>11.07692307692308</v>
      </c>
      <c r="Z33" s="15">
        <f t="shared" si="9"/>
        <v>7.3846153846153859</v>
      </c>
      <c r="AA33" s="15">
        <f t="shared" si="9"/>
        <v>3.6923076923076934</v>
      </c>
      <c r="AB33" s="15">
        <f t="shared" si="9"/>
        <v>1.8461538461538463</v>
      </c>
      <c r="AC33" s="45">
        <f t="shared" si="9"/>
        <v>0</v>
      </c>
      <c r="AD33" s="46">
        <f t="shared" si="22"/>
        <v>-9.9692307692307691E-2</v>
      </c>
      <c r="AE33" s="46">
        <f t="shared" si="10"/>
        <v>-6.6461538461538461E-2</v>
      </c>
      <c r="AF33" s="46">
        <f t="shared" si="11"/>
        <v>-5.3169230769230774E-2</v>
      </c>
      <c r="AG33" s="46">
        <f t="shared" si="12"/>
        <v>-3.9876923076923088E-2</v>
      </c>
      <c r="AH33" s="46">
        <f t="shared" si="13"/>
        <v>-2.6584615384615387E-2</v>
      </c>
      <c r="AI33" s="46">
        <f t="shared" si="14"/>
        <v>-1.3292307692307695E-2</v>
      </c>
      <c r="AJ33" s="46">
        <f t="shared" si="15"/>
        <v>-6.6461538461538468E-3</v>
      </c>
      <c r="AK33" s="79">
        <f t="shared" si="16"/>
        <v>0</v>
      </c>
    </row>
    <row r="34" spans="1:37" x14ac:dyDescent="0.25">
      <c r="A34" t="s">
        <v>29</v>
      </c>
      <c r="B34" t="s">
        <v>21</v>
      </c>
      <c r="C34" s="7">
        <v>10</v>
      </c>
      <c r="D34" s="7" t="s">
        <v>54</v>
      </c>
      <c r="E34">
        <v>65</v>
      </c>
      <c r="F34">
        <v>0</v>
      </c>
      <c r="G34">
        <v>35</v>
      </c>
      <c r="H34">
        <v>160</v>
      </c>
      <c r="I34">
        <f t="shared" si="4"/>
        <v>80</v>
      </c>
      <c r="J34" s="7">
        <v>300</v>
      </c>
      <c r="K34" s="7">
        <f t="shared" si="17"/>
        <v>1200</v>
      </c>
      <c r="L34" s="7">
        <f t="shared" si="18"/>
        <v>600</v>
      </c>
      <c r="M34" s="7">
        <f t="shared" si="19"/>
        <v>280</v>
      </c>
      <c r="N34" s="7">
        <f t="shared" si="20"/>
        <v>120</v>
      </c>
      <c r="O34" s="7">
        <v>50</v>
      </c>
      <c r="P34" s="7">
        <f t="shared" si="21"/>
        <v>300</v>
      </c>
      <c r="Q34" s="7">
        <v>0</v>
      </c>
      <c r="R34" s="16">
        <f t="shared" si="5"/>
        <v>1</v>
      </c>
      <c r="S34" s="16">
        <f t="shared" si="6"/>
        <v>0</v>
      </c>
      <c r="T34" s="16">
        <f t="shared" si="7"/>
        <v>2.3333333333333335</v>
      </c>
      <c r="U34" s="14">
        <f t="shared" si="8"/>
        <v>0</v>
      </c>
      <c r="V34" s="15">
        <f t="shared" si="9"/>
        <v>90</v>
      </c>
      <c r="W34" s="15">
        <f t="shared" si="9"/>
        <v>60</v>
      </c>
      <c r="X34" s="15">
        <f t="shared" si="9"/>
        <v>48</v>
      </c>
      <c r="Y34" s="15">
        <f t="shared" si="9"/>
        <v>36.000000000000007</v>
      </c>
      <c r="Z34" s="15">
        <f t="shared" si="9"/>
        <v>24.000000000000004</v>
      </c>
      <c r="AA34" s="15">
        <f t="shared" si="9"/>
        <v>12.000000000000004</v>
      </c>
      <c r="AB34" s="15">
        <f t="shared" si="9"/>
        <v>6</v>
      </c>
      <c r="AC34" s="45">
        <f t="shared" si="9"/>
        <v>0</v>
      </c>
      <c r="AD34" s="46">
        <f t="shared" si="22"/>
        <v>-0.32400000000000001</v>
      </c>
      <c r="AE34" s="46">
        <f t="shared" si="10"/>
        <v>-0.216</v>
      </c>
      <c r="AF34" s="46">
        <f t="shared" si="11"/>
        <v>-0.17280000000000001</v>
      </c>
      <c r="AG34" s="46">
        <f t="shared" si="12"/>
        <v>-0.12960000000000002</v>
      </c>
      <c r="AH34" s="46">
        <f t="shared" si="13"/>
        <v>-8.6400000000000005E-2</v>
      </c>
      <c r="AI34" s="46">
        <f t="shared" si="14"/>
        <v>-4.3200000000000009E-2</v>
      </c>
      <c r="AJ34" s="46">
        <f t="shared" si="15"/>
        <v>-2.1600000000000001E-2</v>
      </c>
      <c r="AK34" s="79">
        <f t="shared" si="16"/>
        <v>0</v>
      </c>
    </row>
    <row r="35" spans="1:37" ht="15.75" thickBot="1" x14ac:dyDescent="0.3">
      <c r="A35" t="s">
        <v>10</v>
      </c>
      <c r="B35" s="5" t="s">
        <v>22</v>
      </c>
      <c r="C35" s="7">
        <v>12</v>
      </c>
      <c r="D35" s="7" t="s">
        <v>54</v>
      </c>
      <c r="E35">
        <v>10</v>
      </c>
      <c r="F35">
        <v>80</v>
      </c>
      <c r="G35">
        <v>10</v>
      </c>
      <c r="H35">
        <v>180</v>
      </c>
      <c r="I35">
        <f t="shared" si="4"/>
        <v>90</v>
      </c>
      <c r="J35" s="7">
        <v>300</v>
      </c>
      <c r="K35" s="7">
        <f t="shared" si="17"/>
        <v>1200</v>
      </c>
      <c r="L35" s="7">
        <f t="shared" si="18"/>
        <v>600</v>
      </c>
      <c r="M35" s="7">
        <f t="shared" si="19"/>
        <v>280</v>
      </c>
      <c r="N35" s="7">
        <f t="shared" si="20"/>
        <v>120</v>
      </c>
      <c r="O35" s="7">
        <v>50</v>
      </c>
      <c r="P35" s="7">
        <f t="shared" si="21"/>
        <v>300</v>
      </c>
      <c r="Q35" s="7">
        <v>0</v>
      </c>
      <c r="R35" s="16">
        <f t="shared" si="5"/>
        <v>0.15384615384615385</v>
      </c>
      <c r="S35" s="16">
        <f t="shared" si="6"/>
        <v>4</v>
      </c>
      <c r="T35" s="16">
        <f t="shared" si="7"/>
        <v>0.66666666666666663</v>
      </c>
      <c r="U35" s="14">
        <f t="shared" si="8"/>
        <v>0.84615384615384615</v>
      </c>
      <c r="V35" s="15">
        <f t="shared" si="9"/>
        <v>13.846153846153847</v>
      </c>
      <c r="W35" s="15">
        <f t="shared" si="9"/>
        <v>9.2307692307692317</v>
      </c>
      <c r="X35" s="15">
        <f t="shared" si="9"/>
        <v>7.384615384615385</v>
      </c>
      <c r="Y35" s="15">
        <f t="shared" si="9"/>
        <v>5.5384615384615401</v>
      </c>
      <c r="Z35" s="15">
        <f t="shared" si="9"/>
        <v>3.692307692307693</v>
      </c>
      <c r="AA35" s="15">
        <f t="shared" si="9"/>
        <v>1.8461538461538467</v>
      </c>
      <c r="AB35" s="15">
        <f t="shared" si="9"/>
        <v>0.92307692307692313</v>
      </c>
      <c r="AC35" s="45">
        <f t="shared" si="9"/>
        <v>0</v>
      </c>
      <c r="AD35" s="48">
        <f t="shared" si="22"/>
        <v>-4.9846153846153846E-2</v>
      </c>
      <c r="AE35" s="48">
        <f t="shared" si="10"/>
        <v>-3.323076923076923E-2</v>
      </c>
      <c r="AF35" s="48">
        <f t="shared" si="11"/>
        <v>-2.6584615384615387E-2</v>
      </c>
      <c r="AG35" s="48">
        <f t="shared" si="12"/>
        <v>-1.9938461538461544E-2</v>
      </c>
      <c r="AH35" s="48">
        <f t="shared" si="13"/>
        <v>-1.3292307692307694E-2</v>
      </c>
      <c r="AI35" s="48">
        <f t="shared" si="14"/>
        <v>-6.6461538461538476E-3</v>
      </c>
      <c r="AJ35" s="48">
        <f t="shared" si="15"/>
        <v>-3.3230769230769234E-3</v>
      </c>
      <c r="AK35" s="80">
        <f t="shared" si="16"/>
        <v>0</v>
      </c>
    </row>
    <row r="37" spans="1:37" x14ac:dyDescent="0.25">
      <c r="AD37" s="7">
        <v>29</v>
      </c>
      <c r="AE37" s="7">
        <v>30</v>
      </c>
      <c r="AF37" s="7">
        <v>31</v>
      </c>
      <c r="AG37" s="7">
        <v>32</v>
      </c>
      <c r="AH37" s="7">
        <v>33</v>
      </c>
      <c r="AI37" s="7">
        <v>34</v>
      </c>
      <c r="AJ37" s="7">
        <v>35</v>
      </c>
      <c r="AK37" s="7">
        <v>36</v>
      </c>
    </row>
  </sheetData>
  <conditionalFormatting sqref="U24:U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92E55-37F2-4D27-AB33-D1BCDA66FEDA}">
  <dimension ref="A1:Z65"/>
  <sheetViews>
    <sheetView topLeftCell="B1" zoomScaleNormal="100" workbookViewId="0">
      <selection activeCell="C24" sqref="C24:C26"/>
    </sheetView>
  </sheetViews>
  <sheetFormatPr defaultRowHeight="15" x14ac:dyDescent="0.25"/>
  <cols>
    <col min="1" max="1" width="33.28515625" customWidth="1"/>
    <col min="2" max="2" width="19.5703125" style="7" customWidth="1"/>
    <col min="3" max="3" width="17.28515625" style="7" customWidth="1"/>
    <col min="4" max="4" width="15.85546875" style="7" customWidth="1"/>
    <col min="5" max="5" width="9.140625" style="7"/>
    <col min="6" max="6" width="9.5703125" style="7" customWidth="1"/>
    <col min="7" max="7" width="9.140625" style="7"/>
    <col min="20" max="20" width="9.140625" style="7"/>
  </cols>
  <sheetData>
    <row r="1" spans="1:26" ht="15.75" thickBot="1" x14ac:dyDescent="0.3">
      <c r="A1" s="83" t="s">
        <v>171</v>
      </c>
      <c r="E1" s="7" t="s">
        <v>174</v>
      </c>
    </row>
    <row r="2" spans="1:26" x14ac:dyDescent="0.25">
      <c r="B2" s="7" t="s">
        <v>173</v>
      </c>
      <c r="E2" s="7">
        <v>0.1</v>
      </c>
    </row>
    <row r="3" spans="1:26" x14ac:dyDescent="0.25">
      <c r="B3" s="7">
        <v>55</v>
      </c>
      <c r="C3" s="93" t="s">
        <v>102</v>
      </c>
      <c r="D3" s="7" t="s">
        <v>101</v>
      </c>
      <c r="E3" s="7" t="s">
        <v>117</v>
      </c>
      <c r="F3" s="7" t="s">
        <v>118</v>
      </c>
      <c r="I3" s="28" t="s">
        <v>115</v>
      </c>
      <c r="U3" t="s">
        <v>120</v>
      </c>
      <c r="Y3" t="s">
        <v>216</v>
      </c>
    </row>
    <row r="4" spans="1:26" ht="15.75" thickBot="1" x14ac:dyDescent="0.3">
      <c r="C4" s="93" t="s">
        <v>176</v>
      </c>
      <c r="D4" s="7" t="s">
        <v>100</v>
      </c>
      <c r="E4" s="7" t="s">
        <v>100</v>
      </c>
      <c r="F4" s="7" t="s">
        <v>100</v>
      </c>
      <c r="H4" s="7" t="s">
        <v>163</v>
      </c>
      <c r="U4" s="98" t="s">
        <v>121</v>
      </c>
    </row>
    <row r="5" spans="1:26" ht="15.75" thickBot="1" x14ac:dyDescent="0.3">
      <c r="A5" s="25" t="s">
        <v>25</v>
      </c>
      <c r="B5" s="25" t="s">
        <v>69</v>
      </c>
      <c r="C5" s="93">
        <f>'MODELLO FINALE '!D5</f>
        <v>100</v>
      </c>
      <c r="H5">
        <v>350</v>
      </c>
      <c r="I5">
        <f>H5-50</f>
        <v>300</v>
      </c>
      <c r="J5">
        <f>I5-50</f>
        <v>250</v>
      </c>
      <c r="K5">
        <f>J5-50</f>
        <v>200</v>
      </c>
      <c r="L5">
        <f>K5-50</f>
        <v>150</v>
      </c>
      <c r="M5">
        <f>L5-50</f>
        <v>100</v>
      </c>
      <c r="N5">
        <v>350</v>
      </c>
      <c r="O5">
        <f>N5-50</f>
        <v>300</v>
      </c>
      <c r="P5">
        <f>O5-50</f>
        <v>250</v>
      </c>
      <c r="Q5">
        <f>P5-50</f>
        <v>200</v>
      </c>
      <c r="R5">
        <f>Q5-50</f>
        <v>150</v>
      </c>
      <c r="S5">
        <f>R5-50</f>
        <v>100</v>
      </c>
      <c r="T5" s="94" t="s">
        <v>217</v>
      </c>
      <c r="U5" s="95">
        <v>350</v>
      </c>
      <c r="V5" s="95">
        <f>U5-50</f>
        <v>300</v>
      </c>
      <c r="W5" s="95">
        <f>V5-50</f>
        <v>250</v>
      </c>
      <c r="X5" s="95">
        <f>W5-50</f>
        <v>200</v>
      </c>
      <c r="Y5" s="95">
        <f>X5-50</f>
        <v>150</v>
      </c>
      <c r="Z5" s="95">
        <f>Y5-50</f>
        <v>100</v>
      </c>
    </row>
    <row r="6" spans="1:26" x14ac:dyDescent="0.25">
      <c r="A6" s="24" t="s">
        <v>17</v>
      </c>
      <c r="B6" s="24">
        <v>50</v>
      </c>
      <c r="D6" s="93">
        <f t="shared" ref="D6:D17" si="0">22.2*$C$5/10</f>
        <v>222</v>
      </c>
      <c r="E6" s="27">
        <f>(B6/$B$3)*$E$2</f>
        <v>9.0909090909090912E-2</v>
      </c>
      <c r="F6" s="7">
        <f>D6*(1+E6)</f>
        <v>242.18181818181816</v>
      </c>
      <c r="H6" s="11">
        <f>IF(H$5&gt;$F6,1,H$5/$F6)</f>
        <v>1</v>
      </c>
      <c r="I6" s="11">
        <f t="shared" ref="I6:M17" si="1">IF(I$5&gt;$F6,1,I$5/$F6)</f>
        <v>1</v>
      </c>
      <c r="J6" s="11">
        <f t="shared" si="1"/>
        <v>1</v>
      </c>
      <c r="K6" s="11">
        <f>IF(K$5&gt;$F6,1,K$5/$F6)</f>
        <v>0.82582582582582587</v>
      </c>
      <c r="L6" s="11">
        <f>IF(L$5&gt;$F6,1,L$5/$F6)</f>
        <v>0.61936936936936948</v>
      </c>
      <c r="M6" s="11">
        <f t="shared" si="1"/>
        <v>0.41291291291291293</v>
      </c>
      <c r="N6" s="30">
        <f t="shared" ref="N6:S17" si="2">-120*H6+120</f>
        <v>0</v>
      </c>
      <c r="O6" s="30">
        <f t="shared" si="2"/>
        <v>0</v>
      </c>
      <c r="P6" s="30">
        <f t="shared" si="2"/>
        <v>0</v>
      </c>
      <c r="Q6" s="30">
        <f t="shared" si="2"/>
        <v>20.900900900900893</v>
      </c>
      <c r="R6" s="30">
        <f>-120*L6+120</f>
        <v>45.675675675675663</v>
      </c>
      <c r="S6" s="30">
        <f t="shared" si="2"/>
        <v>70.450450450450447</v>
      </c>
      <c r="T6" s="14">
        <v>0</v>
      </c>
      <c r="U6" s="16">
        <f t="shared" ref="U6:Z17" si="3">0.42*H6-0.42</f>
        <v>0</v>
      </c>
      <c r="V6" s="16">
        <f t="shared" si="3"/>
        <v>0</v>
      </c>
      <c r="W6" s="16">
        <f t="shared" si="3"/>
        <v>0</v>
      </c>
      <c r="X6" s="16">
        <f t="shared" si="3"/>
        <v>-7.3153153153153128E-2</v>
      </c>
      <c r="Y6" s="16">
        <f>0.42*L6-0.42</f>
        <v>-0.15986486486486479</v>
      </c>
      <c r="Z6" s="16">
        <f t="shared" si="3"/>
        <v>-0.24657657657657656</v>
      </c>
    </row>
    <row r="7" spans="1:26" x14ac:dyDescent="0.25">
      <c r="A7" s="21" t="s">
        <v>14</v>
      </c>
      <c r="B7" s="21">
        <v>55</v>
      </c>
      <c r="D7" s="93">
        <f t="shared" si="0"/>
        <v>222</v>
      </c>
      <c r="E7" s="27">
        <f t="shared" ref="E7:E17" si="4">(B7/$B$3)*$E$2</f>
        <v>0.1</v>
      </c>
      <c r="F7" s="7">
        <f t="shared" ref="F7:F17" si="5">D7*(1+E7)</f>
        <v>244.20000000000002</v>
      </c>
      <c r="H7" s="11">
        <f t="shared" ref="H7:H17" si="6">IF(H$5&gt;$F7,1,H$5/$F7)</f>
        <v>1</v>
      </c>
      <c r="I7" s="11">
        <f t="shared" si="1"/>
        <v>1</v>
      </c>
      <c r="J7" s="11">
        <f t="shared" si="1"/>
        <v>1</v>
      </c>
      <c r="K7" s="11">
        <f t="shared" si="1"/>
        <v>0.81900081900081889</v>
      </c>
      <c r="L7" s="11">
        <f t="shared" si="1"/>
        <v>0.61425061425061422</v>
      </c>
      <c r="M7" s="11">
        <f t="shared" si="1"/>
        <v>0.40950040950040945</v>
      </c>
      <c r="N7" s="30">
        <f t="shared" si="2"/>
        <v>0</v>
      </c>
      <c r="O7" s="30">
        <f t="shared" si="2"/>
        <v>0</v>
      </c>
      <c r="P7" s="30">
        <f t="shared" si="2"/>
        <v>0</v>
      </c>
      <c r="Q7" s="30">
        <f t="shared" si="2"/>
        <v>21.719901719901728</v>
      </c>
      <c r="R7" s="30">
        <f t="shared" si="2"/>
        <v>46.289926289926299</v>
      </c>
      <c r="S7" s="30">
        <f t="shared" si="2"/>
        <v>70.859950859950857</v>
      </c>
      <c r="T7" s="14">
        <v>0</v>
      </c>
      <c r="U7" s="16">
        <f t="shared" si="3"/>
        <v>0</v>
      </c>
      <c r="V7" s="16">
        <f t="shared" si="3"/>
        <v>0</v>
      </c>
      <c r="W7" s="16">
        <f t="shared" si="3"/>
        <v>0</v>
      </c>
      <c r="X7" s="16">
        <f t="shared" si="3"/>
        <v>-7.6019656019656046E-2</v>
      </c>
      <c r="Y7" s="16">
        <f t="shared" si="3"/>
        <v>-0.16201474201474203</v>
      </c>
      <c r="Z7" s="16">
        <f t="shared" si="3"/>
        <v>-0.24800982800982802</v>
      </c>
    </row>
    <row r="8" spans="1:26" x14ac:dyDescent="0.25">
      <c r="A8" s="21" t="s">
        <v>12</v>
      </c>
      <c r="B8" s="21">
        <v>85</v>
      </c>
      <c r="D8" s="93">
        <f t="shared" si="0"/>
        <v>222</v>
      </c>
      <c r="E8" s="27">
        <f t="shared" si="4"/>
        <v>0.15454545454545454</v>
      </c>
      <c r="F8" s="7">
        <f t="shared" si="5"/>
        <v>256.30909090909091</v>
      </c>
      <c r="H8" s="11">
        <f t="shared" si="6"/>
        <v>1</v>
      </c>
      <c r="I8" s="11">
        <f t="shared" si="1"/>
        <v>1</v>
      </c>
      <c r="J8" s="11">
        <f t="shared" si="1"/>
        <v>0.97538483365255013</v>
      </c>
      <c r="K8" s="11">
        <f t="shared" si="1"/>
        <v>0.78030786692204013</v>
      </c>
      <c r="L8" s="11">
        <f t="shared" si="1"/>
        <v>0.58523090019153012</v>
      </c>
      <c r="M8" s="11">
        <f t="shared" si="1"/>
        <v>0.39015393346102006</v>
      </c>
      <c r="N8" s="30">
        <f t="shared" si="2"/>
        <v>0</v>
      </c>
      <c r="O8" s="30">
        <f t="shared" si="2"/>
        <v>0</v>
      </c>
      <c r="P8" s="30">
        <f t="shared" si="2"/>
        <v>2.9538199616939806</v>
      </c>
      <c r="Q8" s="30">
        <f t="shared" si="2"/>
        <v>26.363055969355187</v>
      </c>
      <c r="R8" s="30">
        <f t="shared" si="2"/>
        <v>49.77229197701638</v>
      </c>
      <c r="S8" s="30">
        <f t="shared" si="2"/>
        <v>73.181527984677587</v>
      </c>
      <c r="T8" s="14">
        <v>0</v>
      </c>
      <c r="U8" s="16">
        <f t="shared" si="3"/>
        <v>0</v>
      </c>
      <c r="V8" s="16">
        <f t="shared" si="3"/>
        <v>0</v>
      </c>
      <c r="W8" s="16">
        <f t="shared" si="3"/>
        <v>-1.0338369865928954E-2</v>
      </c>
      <c r="X8" s="16">
        <f t="shared" si="3"/>
        <v>-9.2270695892743115E-2</v>
      </c>
      <c r="Y8" s="16">
        <f t="shared" si="3"/>
        <v>-0.17420302191955733</v>
      </c>
      <c r="Z8" s="16">
        <f t="shared" si="3"/>
        <v>-0.25613534794637155</v>
      </c>
    </row>
    <row r="9" spans="1:26" x14ac:dyDescent="0.25">
      <c r="A9" s="21" t="s">
        <v>15</v>
      </c>
      <c r="B9" s="21">
        <v>50</v>
      </c>
      <c r="D9" s="93">
        <f t="shared" si="0"/>
        <v>222</v>
      </c>
      <c r="E9" s="27">
        <f t="shared" si="4"/>
        <v>9.0909090909090912E-2</v>
      </c>
      <c r="F9" s="7">
        <f t="shared" si="5"/>
        <v>242.18181818181816</v>
      </c>
      <c r="H9" s="11">
        <f t="shared" si="6"/>
        <v>1</v>
      </c>
      <c r="I9" s="11">
        <f t="shared" si="1"/>
        <v>1</v>
      </c>
      <c r="J9" s="11">
        <f t="shared" si="1"/>
        <v>1</v>
      </c>
      <c r="K9" s="11">
        <f t="shared" si="1"/>
        <v>0.82582582582582587</v>
      </c>
      <c r="L9" s="11">
        <f t="shared" si="1"/>
        <v>0.61936936936936948</v>
      </c>
      <c r="M9" s="11">
        <f t="shared" si="1"/>
        <v>0.41291291291291293</v>
      </c>
      <c r="N9" s="30">
        <f t="shared" si="2"/>
        <v>0</v>
      </c>
      <c r="O9" s="30">
        <f t="shared" si="2"/>
        <v>0</v>
      </c>
      <c r="P9" s="30">
        <f t="shared" si="2"/>
        <v>0</v>
      </c>
      <c r="Q9" s="30">
        <f t="shared" si="2"/>
        <v>20.900900900900893</v>
      </c>
      <c r="R9" s="30">
        <f t="shared" si="2"/>
        <v>45.675675675675663</v>
      </c>
      <c r="S9" s="30">
        <f t="shared" si="2"/>
        <v>70.450450450450447</v>
      </c>
      <c r="T9" s="14">
        <v>0</v>
      </c>
      <c r="U9" s="16">
        <f t="shared" si="3"/>
        <v>0</v>
      </c>
      <c r="V9" s="16">
        <f t="shared" si="3"/>
        <v>0</v>
      </c>
      <c r="W9" s="16">
        <f t="shared" si="3"/>
        <v>0</v>
      </c>
      <c r="X9" s="16">
        <f t="shared" si="3"/>
        <v>-7.3153153153153128E-2</v>
      </c>
      <c r="Y9" s="16">
        <f t="shared" si="3"/>
        <v>-0.15986486486486479</v>
      </c>
      <c r="Z9" s="16">
        <f t="shared" si="3"/>
        <v>-0.24657657657657656</v>
      </c>
    </row>
    <row r="10" spans="1:26" x14ac:dyDescent="0.25">
      <c r="A10" s="21" t="s">
        <v>13</v>
      </c>
      <c r="B10" s="21">
        <v>70</v>
      </c>
      <c r="D10" s="93">
        <f t="shared" si="0"/>
        <v>222</v>
      </c>
      <c r="E10" s="27">
        <f t="shared" si="4"/>
        <v>0.12727272727272729</v>
      </c>
      <c r="F10" s="7">
        <f t="shared" si="5"/>
        <v>250.25454545454545</v>
      </c>
      <c r="H10" s="11">
        <f t="shared" si="6"/>
        <v>1</v>
      </c>
      <c r="I10" s="11">
        <f t="shared" si="1"/>
        <v>1</v>
      </c>
      <c r="J10" s="11">
        <f t="shared" si="1"/>
        <v>0.99898285382156349</v>
      </c>
      <c r="K10" s="11">
        <f t="shared" si="1"/>
        <v>0.79918628305725081</v>
      </c>
      <c r="L10" s="11">
        <f t="shared" si="1"/>
        <v>0.59938971229293814</v>
      </c>
      <c r="M10" s="11">
        <f t="shared" si="1"/>
        <v>0.39959314152862541</v>
      </c>
      <c r="N10" s="30">
        <f t="shared" si="2"/>
        <v>0</v>
      </c>
      <c r="O10" s="30">
        <f t="shared" si="2"/>
        <v>0</v>
      </c>
      <c r="P10" s="30">
        <f t="shared" si="2"/>
        <v>0.12205754141237435</v>
      </c>
      <c r="Q10" s="30">
        <f t="shared" si="2"/>
        <v>24.097646033129905</v>
      </c>
      <c r="R10" s="30">
        <f t="shared" si="2"/>
        <v>48.073234524847422</v>
      </c>
      <c r="S10" s="30">
        <f t="shared" si="2"/>
        <v>72.048823016564953</v>
      </c>
      <c r="T10" s="14">
        <v>0</v>
      </c>
      <c r="U10" s="16">
        <f t="shared" si="3"/>
        <v>0</v>
      </c>
      <c r="V10" s="16">
        <f t="shared" si="3"/>
        <v>0</v>
      </c>
      <c r="W10" s="16">
        <f t="shared" si="3"/>
        <v>-4.2720139494334397E-4</v>
      </c>
      <c r="X10" s="16">
        <f t="shared" si="3"/>
        <v>-8.434176111595465E-2</v>
      </c>
      <c r="Y10" s="16">
        <f t="shared" si="3"/>
        <v>-0.16825632083696596</v>
      </c>
      <c r="Z10" s="16">
        <f t="shared" si="3"/>
        <v>-0.25217088055797732</v>
      </c>
    </row>
    <row r="11" spans="1:26" x14ac:dyDescent="0.25">
      <c r="A11" s="22" t="s">
        <v>11</v>
      </c>
      <c r="B11" s="21">
        <v>85</v>
      </c>
      <c r="D11" s="93">
        <f t="shared" si="0"/>
        <v>222</v>
      </c>
      <c r="E11" s="27">
        <f t="shared" si="4"/>
        <v>0.15454545454545454</v>
      </c>
      <c r="F11" s="7">
        <f t="shared" si="5"/>
        <v>256.30909090909091</v>
      </c>
      <c r="H11" s="11">
        <f t="shared" si="6"/>
        <v>1</v>
      </c>
      <c r="I11" s="11">
        <f t="shared" si="1"/>
        <v>1</v>
      </c>
      <c r="J11" s="11">
        <f t="shared" si="1"/>
        <v>0.97538483365255013</v>
      </c>
      <c r="K11" s="11">
        <f t="shared" si="1"/>
        <v>0.78030786692204013</v>
      </c>
      <c r="L11" s="11">
        <f t="shared" si="1"/>
        <v>0.58523090019153012</v>
      </c>
      <c r="M11" s="11">
        <f t="shared" si="1"/>
        <v>0.39015393346102006</v>
      </c>
      <c r="N11" s="30">
        <f t="shared" si="2"/>
        <v>0</v>
      </c>
      <c r="O11" s="30">
        <f t="shared" si="2"/>
        <v>0</v>
      </c>
      <c r="P11" s="30">
        <f t="shared" si="2"/>
        <v>2.9538199616939806</v>
      </c>
      <c r="Q11" s="30">
        <f t="shared" si="2"/>
        <v>26.363055969355187</v>
      </c>
      <c r="R11" s="30">
        <f t="shared" si="2"/>
        <v>49.77229197701638</v>
      </c>
      <c r="S11" s="30">
        <f t="shared" si="2"/>
        <v>73.181527984677587</v>
      </c>
      <c r="T11" s="97">
        <v>0</v>
      </c>
      <c r="U11" s="16">
        <f t="shared" si="3"/>
        <v>0</v>
      </c>
      <c r="V11" s="16">
        <f t="shared" si="3"/>
        <v>0</v>
      </c>
      <c r="W11" s="96">
        <f t="shared" si="3"/>
        <v>-1.0338369865928954E-2</v>
      </c>
      <c r="X11" s="16">
        <f t="shared" si="3"/>
        <v>-9.2270695892743115E-2</v>
      </c>
      <c r="Y11" s="16">
        <f t="shared" si="3"/>
        <v>-0.17420302191955733</v>
      </c>
      <c r="Z11" s="96">
        <f t="shared" si="3"/>
        <v>-0.25613534794637155</v>
      </c>
    </row>
    <row r="12" spans="1:26" x14ac:dyDescent="0.25">
      <c r="A12" s="22" t="s">
        <v>18</v>
      </c>
      <c r="B12" s="21">
        <v>45</v>
      </c>
      <c r="D12" s="93">
        <f t="shared" si="0"/>
        <v>222</v>
      </c>
      <c r="E12" s="27">
        <f t="shared" si="4"/>
        <v>8.1818181818181832E-2</v>
      </c>
      <c r="F12" s="7">
        <f t="shared" si="5"/>
        <v>240.16363636363636</v>
      </c>
      <c r="H12" s="11">
        <f t="shared" si="6"/>
        <v>1</v>
      </c>
      <c r="I12" s="11">
        <f t="shared" si="1"/>
        <v>1</v>
      </c>
      <c r="J12" s="11">
        <f t="shared" si="1"/>
        <v>1</v>
      </c>
      <c r="K12" s="11">
        <f t="shared" si="1"/>
        <v>0.8327655386478916</v>
      </c>
      <c r="L12" s="11">
        <f t="shared" si="1"/>
        <v>0.62457415398591876</v>
      </c>
      <c r="M12" s="11">
        <f t="shared" si="1"/>
        <v>0.4163827693239458</v>
      </c>
      <c r="N12" s="30">
        <f t="shared" si="2"/>
        <v>0</v>
      </c>
      <c r="O12" s="30">
        <f t="shared" si="2"/>
        <v>0</v>
      </c>
      <c r="P12" s="30">
        <f t="shared" si="2"/>
        <v>0</v>
      </c>
      <c r="Q12" s="30">
        <f t="shared" si="2"/>
        <v>20.068135362253003</v>
      </c>
      <c r="R12" s="30">
        <f t="shared" si="2"/>
        <v>45.051101521689745</v>
      </c>
      <c r="S12" s="30">
        <f t="shared" si="2"/>
        <v>70.034067681126501</v>
      </c>
      <c r="T12" s="14">
        <v>0</v>
      </c>
      <c r="U12" s="16">
        <f t="shared" si="3"/>
        <v>0</v>
      </c>
      <c r="V12" s="16">
        <f t="shared" si="3"/>
        <v>0</v>
      </c>
      <c r="W12" s="16">
        <f t="shared" si="3"/>
        <v>0</v>
      </c>
      <c r="X12" s="16">
        <f t="shared" si="3"/>
        <v>-7.0238473767885501E-2</v>
      </c>
      <c r="Y12" s="16">
        <f t="shared" si="3"/>
        <v>-0.15767885532591414</v>
      </c>
      <c r="Z12" s="16">
        <f t="shared" si="3"/>
        <v>-0.24511923688394274</v>
      </c>
    </row>
    <row r="13" spans="1:26" x14ac:dyDescent="0.25">
      <c r="A13" s="21" t="s">
        <v>19</v>
      </c>
      <c r="B13" s="21">
        <v>20</v>
      </c>
      <c r="D13" s="93">
        <f t="shared" si="0"/>
        <v>222</v>
      </c>
      <c r="E13" s="27">
        <f t="shared" si="4"/>
        <v>3.6363636363636369E-2</v>
      </c>
      <c r="F13" s="7">
        <f t="shared" si="5"/>
        <v>230.07272727272726</v>
      </c>
      <c r="H13" s="11">
        <f t="shared" si="6"/>
        <v>1</v>
      </c>
      <c r="I13" s="11">
        <f t="shared" si="1"/>
        <v>1</v>
      </c>
      <c r="J13" s="11">
        <f t="shared" si="1"/>
        <v>1</v>
      </c>
      <c r="K13" s="11">
        <f t="shared" si="1"/>
        <v>0.86929034297455354</v>
      </c>
      <c r="L13" s="11">
        <f t="shared" si="1"/>
        <v>0.65196775723091516</v>
      </c>
      <c r="M13" s="11">
        <f t="shared" si="1"/>
        <v>0.43464517148727677</v>
      </c>
      <c r="N13" s="30">
        <f t="shared" si="2"/>
        <v>0</v>
      </c>
      <c r="O13" s="30">
        <f t="shared" si="2"/>
        <v>0</v>
      </c>
      <c r="P13" s="30">
        <f t="shared" si="2"/>
        <v>0</v>
      </c>
      <c r="Q13" s="30">
        <f t="shared" si="2"/>
        <v>15.685158843053571</v>
      </c>
      <c r="R13" s="30">
        <f t="shared" si="2"/>
        <v>41.763869132290182</v>
      </c>
      <c r="S13" s="30">
        <f t="shared" si="2"/>
        <v>67.842579421526779</v>
      </c>
      <c r="T13" s="14">
        <v>0</v>
      </c>
      <c r="U13" s="16">
        <f t="shared" si="3"/>
        <v>0</v>
      </c>
      <c r="V13" s="16">
        <f t="shared" si="3"/>
        <v>0</v>
      </c>
      <c r="W13" s="16">
        <f t="shared" si="3"/>
        <v>0</v>
      </c>
      <c r="X13" s="16">
        <f t="shared" si="3"/>
        <v>-5.489805595068753E-2</v>
      </c>
      <c r="Y13" s="16">
        <f t="shared" si="3"/>
        <v>-0.14617354196301563</v>
      </c>
      <c r="Z13" s="16">
        <f t="shared" si="3"/>
        <v>-0.23744902797534376</v>
      </c>
    </row>
    <row r="14" spans="1:26" x14ac:dyDescent="0.25">
      <c r="A14" s="21" t="s">
        <v>20</v>
      </c>
      <c r="B14" s="21">
        <v>20</v>
      </c>
      <c r="D14" s="93">
        <f t="shared" si="0"/>
        <v>222</v>
      </c>
      <c r="E14" s="27">
        <f t="shared" si="4"/>
        <v>3.6363636363636369E-2</v>
      </c>
      <c r="F14" s="7">
        <f t="shared" si="5"/>
        <v>230.07272727272726</v>
      </c>
      <c r="H14" s="11">
        <f t="shared" si="6"/>
        <v>1</v>
      </c>
      <c r="I14" s="11">
        <f t="shared" si="1"/>
        <v>1</v>
      </c>
      <c r="J14" s="11">
        <f t="shared" si="1"/>
        <v>1</v>
      </c>
      <c r="K14" s="11">
        <f t="shared" si="1"/>
        <v>0.86929034297455354</v>
      </c>
      <c r="L14" s="11">
        <f t="shared" si="1"/>
        <v>0.65196775723091516</v>
      </c>
      <c r="M14" s="11">
        <f t="shared" si="1"/>
        <v>0.43464517148727677</v>
      </c>
      <c r="N14" s="30">
        <f t="shared" si="2"/>
        <v>0</v>
      </c>
      <c r="O14" s="30">
        <f t="shared" si="2"/>
        <v>0</v>
      </c>
      <c r="P14" s="30">
        <f t="shared" si="2"/>
        <v>0</v>
      </c>
      <c r="Q14" s="30">
        <f t="shared" si="2"/>
        <v>15.685158843053571</v>
      </c>
      <c r="R14" s="30">
        <f t="shared" si="2"/>
        <v>41.763869132290182</v>
      </c>
      <c r="S14" s="30">
        <f t="shared" si="2"/>
        <v>67.842579421526779</v>
      </c>
      <c r="T14" s="14">
        <v>0</v>
      </c>
      <c r="U14" s="16">
        <f t="shared" si="3"/>
        <v>0</v>
      </c>
      <c r="V14" s="16">
        <f t="shared" si="3"/>
        <v>0</v>
      </c>
      <c r="W14" s="16">
        <f t="shared" si="3"/>
        <v>0</v>
      </c>
      <c r="X14" s="16">
        <f t="shared" si="3"/>
        <v>-5.489805595068753E-2</v>
      </c>
      <c r="Y14" s="16">
        <f t="shared" si="3"/>
        <v>-0.14617354196301563</v>
      </c>
      <c r="Z14" s="16">
        <f t="shared" si="3"/>
        <v>-0.23744902797534376</v>
      </c>
    </row>
    <row r="15" spans="1:26" x14ac:dyDescent="0.25">
      <c r="A15" s="21" t="s">
        <v>21</v>
      </c>
      <c r="B15" s="21">
        <v>65</v>
      </c>
      <c r="D15" s="93">
        <f t="shared" si="0"/>
        <v>222</v>
      </c>
      <c r="E15" s="27">
        <f t="shared" si="4"/>
        <v>0.11818181818181819</v>
      </c>
      <c r="F15" s="7">
        <f t="shared" si="5"/>
        <v>248.23636363636362</v>
      </c>
      <c r="H15" s="11">
        <f t="shared" si="6"/>
        <v>1</v>
      </c>
      <c r="I15" s="11">
        <f t="shared" si="1"/>
        <v>1</v>
      </c>
      <c r="J15" s="11">
        <f t="shared" si="1"/>
        <v>1</v>
      </c>
      <c r="K15" s="11">
        <f t="shared" si="1"/>
        <v>0.80568373251300085</v>
      </c>
      <c r="L15" s="11">
        <f t="shared" si="1"/>
        <v>0.60426279938475069</v>
      </c>
      <c r="M15" s="11">
        <f t="shared" si="1"/>
        <v>0.40284186625650042</v>
      </c>
      <c r="N15" s="30">
        <f t="shared" si="2"/>
        <v>0</v>
      </c>
      <c r="O15" s="30">
        <f t="shared" si="2"/>
        <v>0</v>
      </c>
      <c r="P15" s="30">
        <f t="shared" si="2"/>
        <v>0</v>
      </c>
      <c r="Q15" s="30">
        <f t="shared" si="2"/>
        <v>23.317952098439903</v>
      </c>
      <c r="R15" s="30">
        <f t="shared" si="2"/>
        <v>47.488464073829917</v>
      </c>
      <c r="S15" s="30">
        <f t="shared" si="2"/>
        <v>71.658976049219945</v>
      </c>
      <c r="T15" s="14">
        <v>0</v>
      </c>
      <c r="U15" s="16">
        <f t="shared" si="3"/>
        <v>0</v>
      </c>
      <c r="V15" s="16">
        <f t="shared" si="3"/>
        <v>0</v>
      </c>
      <c r="W15" s="16">
        <f t="shared" si="3"/>
        <v>0</v>
      </c>
      <c r="X15" s="16">
        <f t="shared" si="3"/>
        <v>-8.1612832344539643E-2</v>
      </c>
      <c r="Y15" s="16">
        <f t="shared" si="3"/>
        <v>-0.16620962425840469</v>
      </c>
      <c r="Z15" s="16">
        <f t="shared" si="3"/>
        <v>-0.25080641617226984</v>
      </c>
    </row>
    <row r="16" spans="1:26" x14ac:dyDescent="0.25">
      <c r="A16" s="21" t="s">
        <v>16</v>
      </c>
      <c r="B16" s="21">
        <v>45</v>
      </c>
      <c r="D16" s="93">
        <f t="shared" si="0"/>
        <v>222</v>
      </c>
      <c r="E16" s="27">
        <f t="shared" si="4"/>
        <v>8.1818181818181832E-2</v>
      </c>
      <c r="F16" s="7">
        <f t="shared" si="5"/>
        <v>240.16363636363636</v>
      </c>
      <c r="H16" s="11">
        <f t="shared" si="6"/>
        <v>1</v>
      </c>
      <c r="I16" s="11">
        <f t="shared" si="1"/>
        <v>1</v>
      </c>
      <c r="J16" s="11">
        <f t="shared" si="1"/>
        <v>1</v>
      </c>
      <c r="K16" s="11">
        <f t="shared" si="1"/>
        <v>0.8327655386478916</v>
      </c>
      <c r="L16" s="11">
        <f t="shared" si="1"/>
        <v>0.62457415398591876</v>
      </c>
      <c r="M16" s="11">
        <f t="shared" si="1"/>
        <v>0.4163827693239458</v>
      </c>
      <c r="N16" s="30">
        <f t="shared" si="2"/>
        <v>0</v>
      </c>
      <c r="O16" s="30">
        <f t="shared" si="2"/>
        <v>0</v>
      </c>
      <c r="P16" s="30">
        <f t="shared" si="2"/>
        <v>0</v>
      </c>
      <c r="Q16" s="30">
        <f t="shared" si="2"/>
        <v>20.068135362253003</v>
      </c>
      <c r="R16" s="30">
        <f t="shared" si="2"/>
        <v>45.051101521689745</v>
      </c>
      <c r="S16" s="30">
        <f t="shared" si="2"/>
        <v>70.034067681126501</v>
      </c>
      <c r="T16" s="14">
        <v>0</v>
      </c>
      <c r="U16" s="16">
        <f t="shared" si="3"/>
        <v>0</v>
      </c>
      <c r="V16" s="16">
        <f t="shared" si="3"/>
        <v>0</v>
      </c>
      <c r="W16" s="16">
        <f t="shared" si="3"/>
        <v>0</v>
      </c>
      <c r="X16" s="16">
        <f t="shared" si="3"/>
        <v>-7.0238473767885501E-2</v>
      </c>
      <c r="Y16" s="16">
        <f t="shared" si="3"/>
        <v>-0.15767885532591414</v>
      </c>
      <c r="Z16" s="16">
        <f t="shared" si="3"/>
        <v>-0.24511923688394274</v>
      </c>
    </row>
    <row r="17" spans="1:26" ht="15.75" thickBot="1" x14ac:dyDescent="0.3">
      <c r="A17" s="23" t="s">
        <v>22</v>
      </c>
      <c r="B17" s="26">
        <v>10</v>
      </c>
      <c r="D17" s="93">
        <f t="shared" si="0"/>
        <v>222</v>
      </c>
      <c r="E17" s="27">
        <f t="shared" si="4"/>
        <v>1.8181818181818184E-2</v>
      </c>
      <c r="F17" s="7">
        <f t="shared" si="5"/>
        <v>226.0363636363636</v>
      </c>
      <c r="H17" s="11">
        <f t="shared" si="6"/>
        <v>1</v>
      </c>
      <c r="I17" s="11">
        <f t="shared" si="1"/>
        <v>1</v>
      </c>
      <c r="J17" s="11">
        <f t="shared" si="1"/>
        <v>1</v>
      </c>
      <c r="K17" s="11">
        <f t="shared" si="1"/>
        <v>0.8848133848133849</v>
      </c>
      <c r="L17" s="11">
        <f t="shared" si="1"/>
        <v>0.66361003861003875</v>
      </c>
      <c r="M17" s="11">
        <f t="shared" si="1"/>
        <v>0.44240669240669245</v>
      </c>
      <c r="N17" s="30">
        <f t="shared" si="2"/>
        <v>0</v>
      </c>
      <c r="O17" s="30">
        <f t="shared" si="2"/>
        <v>0</v>
      </c>
      <c r="P17" s="30">
        <f t="shared" si="2"/>
        <v>0</v>
      </c>
      <c r="Q17" s="30">
        <f t="shared" si="2"/>
        <v>13.822393822393806</v>
      </c>
      <c r="R17" s="30">
        <f t="shared" si="2"/>
        <v>40.366795366795344</v>
      </c>
      <c r="S17" s="30">
        <f t="shared" si="2"/>
        <v>66.911196911196896</v>
      </c>
      <c r="T17" s="14">
        <v>0</v>
      </c>
      <c r="U17" s="16">
        <f t="shared" si="3"/>
        <v>0</v>
      </c>
      <c r="V17" s="16">
        <f t="shared" si="3"/>
        <v>0</v>
      </c>
      <c r="W17" s="16">
        <f t="shared" si="3"/>
        <v>0</v>
      </c>
      <c r="X17" s="16">
        <f t="shared" si="3"/>
        <v>-4.8378378378378328E-2</v>
      </c>
      <c r="Y17" s="16">
        <f t="shared" si="3"/>
        <v>-0.1412837837837837</v>
      </c>
      <c r="Z17" s="16">
        <f t="shared" si="3"/>
        <v>-0.23418918918918916</v>
      </c>
    </row>
    <row r="19" spans="1:26" x14ac:dyDescent="0.25">
      <c r="P19" t="s">
        <v>119</v>
      </c>
      <c r="U19">
        <v>21</v>
      </c>
      <c r="V19">
        <v>22</v>
      </c>
      <c r="W19">
        <v>23</v>
      </c>
      <c r="X19">
        <v>24</v>
      </c>
      <c r="Y19">
        <v>25</v>
      </c>
      <c r="Z19">
        <v>26</v>
      </c>
    </row>
    <row r="20" spans="1:26" x14ac:dyDescent="0.25">
      <c r="P20" s="11">
        <v>-0.21</v>
      </c>
      <c r="Q20" s="12">
        <v>0.5</v>
      </c>
    </row>
    <row r="21" spans="1:26" ht="15.75" thickBot="1" x14ac:dyDescent="0.3">
      <c r="P21" s="12">
        <v>0</v>
      </c>
      <c r="Q21" s="12">
        <v>1</v>
      </c>
    </row>
    <row r="22" spans="1:26" ht="15.75" thickBot="1" x14ac:dyDescent="0.3">
      <c r="A22" s="83" t="s">
        <v>172</v>
      </c>
    </row>
    <row r="23" spans="1:26" x14ac:dyDescent="0.25">
      <c r="B23" s="7" t="s">
        <v>173</v>
      </c>
      <c r="E23" s="7">
        <v>0.15</v>
      </c>
    </row>
    <row r="24" spans="1:26" x14ac:dyDescent="0.25">
      <c r="B24" s="7">
        <v>55</v>
      </c>
      <c r="C24" s="93" t="s">
        <v>102</v>
      </c>
      <c r="D24" s="7" t="s">
        <v>101</v>
      </c>
      <c r="E24" s="7" t="s">
        <v>117</v>
      </c>
      <c r="F24" s="7" t="s">
        <v>118</v>
      </c>
      <c r="I24" s="28" t="s">
        <v>115</v>
      </c>
      <c r="U24" t="s">
        <v>120</v>
      </c>
    </row>
    <row r="25" spans="1:26" ht="15.75" thickBot="1" x14ac:dyDescent="0.3">
      <c r="C25" s="93" t="s">
        <v>175</v>
      </c>
      <c r="D25" s="7" t="s">
        <v>100</v>
      </c>
      <c r="E25" s="7" t="s">
        <v>100</v>
      </c>
      <c r="F25" s="7" t="s">
        <v>100</v>
      </c>
      <c r="H25" s="7" t="s">
        <v>163</v>
      </c>
      <c r="U25" t="s">
        <v>121</v>
      </c>
    </row>
    <row r="26" spans="1:26" ht="15.75" thickBot="1" x14ac:dyDescent="0.3">
      <c r="A26" s="25" t="s">
        <v>25</v>
      </c>
      <c r="B26" s="25" t="s">
        <v>69</v>
      </c>
      <c r="C26" s="93">
        <f>'MODELLO FINALE '!D6</f>
        <v>875</v>
      </c>
      <c r="D26" s="7">
        <f>3.7*$C$26/10</f>
        <v>323.75</v>
      </c>
      <c r="H26" s="5">
        <v>350</v>
      </c>
      <c r="I26" s="5">
        <f>H26-50</f>
        <v>300</v>
      </c>
      <c r="J26" s="5">
        <f>I26-50</f>
        <v>250</v>
      </c>
      <c r="K26" s="5">
        <f>J26-50</f>
        <v>200</v>
      </c>
      <c r="L26" s="5">
        <f>K26-50</f>
        <v>150</v>
      </c>
      <c r="M26" s="5">
        <f>L26-50</f>
        <v>100</v>
      </c>
      <c r="N26" s="5">
        <v>350</v>
      </c>
      <c r="O26" s="5">
        <f>N26-50</f>
        <v>300</v>
      </c>
      <c r="P26" s="5">
        <f>O26-50</f>
        <v>250</v>
      </c>
      <c r="Q26" s="5">
        <f>P26-50</f>
        <v>200</v>
      </c>
      <c r="R26" s="5">
        <f>Q26-50</f>
        <v>150</v>
      </c>
      <c r="S26" s="5">
        <f>R26-50</f>
        <v>100</v>
      </c>
      <c r="T26" s="94" t="s">
        <v>217</v>
      </c>
      <c r="U26" s="95">
        <v>350</v>
      </c>
      <c r="V26" s="95">
        <f>U26-50</f>
        <v>300</v>
      </c>
      <c r="W26" s="95">
        <f>V26-50</f>
        <v>250</v>
      </c>
      <c r="X26" s="95">
        <f>W26-50</f>
        <v>200</v>
      </c>
      <c r="Y26" s="95">
        <f>X26-50</f>
        <v>150</v>
      </c>
      <c r="Z26" s="95">
        <f>Y26-50</f>
        <v>100</v>
      </c>
    </row>
    <row r="27" spans="1:26" x14ac:dyDescent="0.25">
      <c r="A27" s="24" t="s">
        <v>17</v>
      </c>
      <c r="B27" s="24">
        <v>50</v>
      </c>
      <c r="D27" s="7">
        <f>3.7*$C$26/10</f>
        <v>323.75</v>
      </c>
      <c r="E27" s="27">
        <f>(B27/$B$24)*$E$23</f>
        <v>0.13636363636363635</v>
      </c>
      <c r="F27" s="7">
        <f>D27*(1+E27)</f>
        <v>367.89772727272725</v>
      </c>
      <c r="H27" s="11">
        <f>IF(H$5&gt;$F27,1,H$5/$F27)</f>
        <v>0.9513513513513514</v>
      </c>
      <c r="I27" s="11">
        <f t="shared" ref="I27:M38" si="7">IF(I$5&gt;$F27,1,I$5/$F27)</f>
        <v>0.81544401544401546</v>
      </c>
      <c r="J27" s="11">
        <f t="shared" si="7"/>
        <v>0.67953667953667962</v>
      </c>
      <c r="K27" s="11">
        <f t="shared" si="7"/>
        <v>0.54362934362934368</v>
      </c>
      <c r="L27" s="11">
        <f t="shared" si="7"/>
        <v>0.40772200772200773</v>
      </c>
      <c r="M27" s="11">
        <f t="shared" si="7"/>
        <v>0.27181467181467184</v>
      </c>
      <c r="N27" s="30">
        <f t="shared" ref="N27:N38" si="8">-120*H27+120</f>
        <v>5.8378378378378386</v>
      </c>
      <c r="O27" s="30">
        <f t="shared" ref="O27:O38" si="9">-120*I27+120</f>
        <v>22.146718146718143</v>
      </c>
      <c r="P27" s="30">
        <f t="shared" ref="P27:P38" si="10">-120*J27+120</f>
        <v>38.455598455598448</v>
      </c>
      <c r="Q27" s="30">
        <f t="shared" ref="Q27:Q38" si="11">-120*K27+120</f>
        <v>54.764478764478753</v>
      </c>
      <c r="R27" s="30">
        <f t="shared" ref="R27:R38" si="12">-120*L27+120</f>
        <v>71.073359073359072</v>
      </c>
      <c r="S27" s="30">
        <f t="shared" ref="S27:S38" si="13">-120*M27+120</f>
        <v>87.382239382239376</v>
      </c>
      <c r="T27" s="14">
        <v>0</v>
      </c>
      <c r="U27" s="16">
        <f t="shared" ref="U27:U38" si="14">0.42*H27-0.42</f>
        <v>-2.0432432432432424E-2</v>
      </c>
      <c r="V27" s="16">
        <f t="shared" ref="V27:V38" si="15">0.42*I27-0.42</f>
        <v>-7.7513513513513488E-2</v>
      </c>
      <c r="W27" s="16">
        <f t="shared" ref="W27:W38" si="16">0.42*J27-0.42</f>
        <v>-0.13459459459459455</v>
      </c>
      <c r="X27" s="16">
        <f t="shared" ref="X27:X38" si="17">0.42*K27-0.42</f>
        <v>-0.19167567567567564</v>
      </c>
      <c r="Y27" s="16">
        <f t="shared" ref="Y27:Y38" si="18">0.42*L27-0.42</f>
        <v>-0.24875675675675674</v>
      </c>
      <c r="Z27" s="16">
        <f t="shared" ref="Z27:Z38" si="19">0.42*M27-0.42</f>
        <v>-0.3058378378378378</v>
      </c>
    </row>
    <row r="28" spans="1:26" x14ac:dyDescent="0.25">
      <c r="A28" s="21" t="s">
        <v>14</v>
      </c>
      <c r="B28" s="21">
        <v>55</v>
      </c>
      <c r="D28" s="7">
        <f t="shared" ref="D28:D38" si="20">3.7*$C$26/10</f>
        <v>323.75</v>
      </c>
      <c r="E28" s="27">
        <f t="shared" ref="E28:E38" si="21">(B28/$B$24)*$E$23</f>
        <v>0.15</v>
      </c>
      <c r="F28" s="7">
        <f t="shared" ref="F28:F38" si="22">D28*(1+E28)</f>
        <v>372.31249999999994</v>
      </c>
      <c r="H28" s="11">
        <f t="shared" ref="H28:H38" si="23">IF(H$5&gt;$F28,1,H$5/$F28)</f>
        <v>0.94007050528789671</v>
      </c>
      <c r="I28" s="11">
        <f t="shared" si="7"/>
        <v>0.80577471881819718</v>
      </c>
      <c r="J28" s="11">
        <f t="shared" si="7"/>
        <v>0.67147893234849765</v>
      </c>
      <c r="K28" s="11">
        <f t="shared" si="7"/>
        <v>0.53718314587879812</v>
      </c>
      <c r="L28" s="11">
        <f t="shared" si="7"/>
        <v>0.40288735940909859</v>
      </c>
      <c r="M28" s="11">
        <f t="shared" si="7"/>
        <v>0.26859157293939906</v>
      </c>
      <c r="N28" s="30">
        <f t="shared" si="8"/>
        <v>7.1915393654523996</v>
      </c>
      <c r="O28" s="30">
        <f t="shared" si="9"/>
        <v>23.30703374181634</v>
      </c>
      <c r="P28" s="30">
        <f t="shared" si="10"/>
        <v>39.422528118180281</v>
      </c>
      <c r="Q28" s="30">
        <f t="shared" si="11"/>
        <v>55.538022494544222</v>
      </c>
      <c r="R28" s="30">
        <f t="shared" si="12"/>
        <v>71.653516870908163</v>
      </c>
      <c r="S28" s="30">
        <f t="shared" si="13"/>
        <v>87.769011247272118</v>
      </c>
      <c r="T28" s="14">
        <v>0</v>
      </c>
      <c r="U28" s="16">
        <f t="shared" si="14"/>
        <v>-2.517038777908337E-2</v>
      </c>
      <c r="V28" s="16">
        <f t="shared" si="15"/>
        <v>-8.1574618096357188E-2</v>
      </c>
      <c r="W28" s="16">
        <f t="shared" si="16"/>
        <v>-0.13797884841363101</v>
      </c>
      <c r="X28" s="16">
        <f t="shared" si="17"/>
        <v>-0.1943830787309048</v>
      </c>
      <c r="Y28" s="16">
        <f t="shared" si="18"/>
        <v>-0.25078730904817859</v>
      </c>
      <c r="Z28" s="16">
        <f t="shared" si="19"/>
        <v>-0.3071915393654524</v>
      </c>
    </row>
    <row r="29" spans="1:26" x14ac:dyDescent="0.25">
      <c r="A29" s="21" t="s">
        <v>12</v>
      </c>
      <c r="B29" s="21">
        <v>85</v>
      </c>
      <c r="D29" s="7">
        <f t="shared" si="20"/>
        <v>323.75</v>
      </c>
      <c r="E29" s="27">
        <f t="shared" si="21"/>
        <v>0.23181818181818181</v>
      </c>
      <c r="F29" s="7">
        <f t="shared" si="22"/>
        <v>398.80113636363637</v>
      </c>
      <c r="H29" s="11">
        <f t="shared" si="23"/>
        <v>0.87763039792560082</v>
      </c>
      <c r="I29" s="11">
        <f t="shared" si="7"/>
        <v>0.75225462679337218</v>
      </c>
      <c r="J29" s="11">
        <f t="shared" si="7"/>
        <v>0.62687885566114343</v>
      </c>
      <c r="K29" s="11">
        <f t="shared" si="7"/>
        <v>0.50150308452891479</v>
      </c>
      <c r="L29" s="11">
        <f t="shared" si="7"/>
        <v>0.37612731339668609</v>
      </c>
      <c r="M29" s="11">
        <f t="shared" si="7"/>
        <v>0.25075154226445739</v>
      </c>
      <c r="N29" s="30">
        <f t="shared" si="8"/>
        <v>14.684352248927894</v>
      </c>
      <c r="O29" s="30">
        <f t="shared" si="9"/>
        <v>29.729444784795334</v>
      </c>
      <c r="P29" s="30">
        <f t="shared" si="10"/>
        <v>44.774537320662787</v>
      </c>
      <c r="Q29" s="30">
        <f t="shared" si="11"/>
        <v>59.819629856530227</v>
      </c>
      <c r="R29" s="30">
        <f t="shared" si="12"/>
        <v>74.864722392397667</v>
      </c>
      <c r="S29" s="30">
        <f t="shared" si="13"/>
        <v>89.909814928265121</v>
      </c>
      <c r="T29" s="14">
        <v>0</v>
      </c>
      <c r="U29" s="16">
        <f t="shared" si="14"/>
        <v>-5.1395232871247643E-2</v>
      </c>
      <c r="V29" s="16">
        <f t="shared" si="15"/>
        <v>-0.10405305674678367</v>
      </c>
      <c r="W29" s="16">
        <f t="shared" si="16"/>
        <v>-0.15671088062231975</v>
      </c>
      <c r="X29" s="16">
        <f t="shared" si="17"/>
        <v>-0.20936870449785577</v>
      </c>
      <c r="Y29" s="16">
        <f t="shared" si="18"/>
        <v>-0.2620265283733918</v>
      </c>
      <c r="Z29" s="16">
        <f t="shared" si="19"/>
        <v>-0.31468435224892788</v>
      </c>
    </row>
    <row r="30" spans="1:26" x14ac:dyDescent="0.25">
      <c r="A30" s="21" t="s">
        <v>15</v>
      </c>
      <c r="B30" s="21">
        <v>50</v>
      </c>
      <c r="D30" s="7">
        <f t="shared" si="20"/>
        <v>323.75</v>
      </c>
      <c r="E30" s="27">
        <f t="shared" si="21"/>
        <v>0.13636363636363635</v>
      </c>
      <c r="F30" s="7">
        <f t="shared" si="22"/>
        <v>367.89772727272725</v>
      </c>
      <c r="H30" s="11">
        <f t="shared" si="23"/>
        <v>0.9513513513513514</v>
      </c>
      <c r="I30" s="11">
        <f t="shared" si="7"/>
        <v>0.81544401544401546</v>
      </c>
      <c r="J30" s="11">
        <f t="shared" si="7"/>
        <v>0.67953667953667962</v>
      </c>
      <c r="K30" s="11">
        <f t="shared" si="7"/>
        <v>0.54362934362934368</v>
      </c>
      <c r="L30" s="11">
        <f t="shared" si="7"/>
        <v>0.40772200772200773</v>
      </c>
      <c r="M30" s="11">
        <f t="shared" si="7"/>
        <v>0.27181467181467184</v>
      </c>
      <c r="N30" s="30">
        <f t="shared" si="8"/>
        <v>5.8378378378378386</v>
      </c>
      <c r="O30" s="30">
        <f t="shared" si="9"/>
        <v>22.146718146718143</v>
      </c>
      <c r="P30" s="30">
        <f t="shared" si="10"/>
        <v>38.455598455598448</v>
      </c>
      <c r="Q30" s="30">
        <f t="shared" si="11"/>
        <v>54.764478764478753</v>
      </c>
      <c r="R30" s="30">
        <f t="shared" si="12"/>
        <v>71.073359073359072</v>
      </c>
      <c r="S30" s="30">
        <f t="shared" si="13"/>
        <v>87.382239382239376</v>
      </c>
      <c r="T30" s="14">
        <v>0</v>
      </c>
      <c r="U30" s="16">
        <f t="shared" si="14"/>
        <v>-2.0432432432432424E-2</v>
      </c>
      <c r="V30" s="16">
        <f t="shared" si="15"/>
        <v>-7.7513513513513488E-2</v>
      </c>
      <c r="W30" s="16">
        <f t="shared" si="16"/>
        <v>-0.13459459459459455</v>
      </c>
      <c r="X30" s="16">
        <f t="shared" si="17"/>
        <v>-0.19167567567567564</v>
      </c>
      <c r="Y30" s="16">
        <f t="shared" si="18"/>
        <v>-0.24875675675675674</v>
      </c>
      <c r="Z30" s="16">
        <f t="shared" si="19"/>
        <v>-0.3058378378378378</v>
      </c>
    </row>
    <row r="31" spans="1:26" x14ac:dyDescent="0.25">
      <c r="A31" s="21" t="s">
        <v>13</v>
      </c>
      <c r="B31" s="21">
        <v>70</v>
      </c>
      <c r="D31" s="7">
        <f t="shared" si="20"/>
        <v>323.75</v>
      </c>
      <c r="E31" s="27">
        <f t="shared" si="21"/>
        <v>0.19090909090909089</v>
      </c>
      <c r="F31" s="7">
        <f t="shared" si="22"/>
        <v>385.55681818181819</v>
      </c>
      <c r="H31" s="11">
        <f t="shared" si="23"/>
        <v>0.90777800701464817</v>
      </c>
      <c r="I31" s="11">
        <f t="shared" si="7"/>
        <v>0.77809543458398422</v>
      </c>
      <c r="J31" s="11">
        <f t="shared" si="7"/>
        <v>0.64841286215332017</v>
      </c>
      <c r="K31" s="11">
        <f t="shared" si="7"/>
        <v>0.51873028972265611</v>
      </c>
      <c r="L31" s="11">
        <f t="shared" si="7"/>
        <v>0.38904771729199211</v>
      </c>
      <c r="M31" s="11">
        <f t="shared" si="7"/>
        <v>0.25936514486132806</v>
      </c>
      <c r="N31" s="30">
        <f t="shared" si="8"/>
        <v>11.066639158242225</v>
      </c>
      <c r="O31" s="30">
        <f t="shared" si="9"/>
        <v>26.628547849921887</v>
      </c>
      <c r="P31" s="30">
        <f t="shared" si="10"/>
        <v>42.190456541601577</v>
      </c>
      <c r="Q31" s="30">
        <f t="shared" si="11"/>
        <v>57.752365233281267</v>
      </c>
      <c r="R31" s="30">
        <f t="shared" si="12"/>
        <v>73.314273924960943</v>
      </c>
      <c r="S31" s="30">
        <f t="shared" si="13"/>
        <v>88.876182616640634</v>
      </c>
      <c r="T31" s="14">
        <v>0</v>
      </c>
      <c r="U31" s="16">
        <f t="shared" si="14"/>
        <v>-3.8733237053847791E-2</v>
      </c>
      <c r="V31" s="16">
        <f t="shared" si="15"/>
        <v>-9.3199917474726612E-2</v>
      </c>
      <c r="W31" s="16">
        <f t="shared" si="16"/>
        <v>-0.14766659789560554</v>
      </c>
      <c r="X31" s="16">
        <f t="shared" si="17"/>
        <v>-0.20213327831648442</v>
      </c>
      <c r="Y31" s="16">
        <f t="shared" si="18"/>
        <v>-0.2565999587373633</v>
      </c>
      <c r="Z31" s="16">
        <f t="shared" si="19"/>
        <v>-0.31106663915824218</v>
      </c>
    </row>
    <row r="32" spans="1:26" x14ac:dyDescent="0.25">
      <c r="A32" s="22" t="s">
        <v>11</v>
      </c>
      <c r="B32" s="21">
        <v>85</v>
      </c>
      <c r="D32" s="7">
        <f t="shared" si="20"/>
        <v>323.75</v>
      </c>
      <c r="E32" s="27">
        <f t="shared" si="21"/>
        <v>0.23181818181818181</v>
      </c>
      <c r="F32" s="7">
        <f t="shared" si="22"/>
        <v>398.80113636363637</v>
      </c>
      <c r="H32" s="11">
        <f t="shared" si="23"/>
        <v>0.87763039792560082</v>
      </c>
      <c r="I32" s="11">
        <f t="shared" si="7"/>
        <v>0.75225462679337218</v>
      </c>
      <c r="J32" s="11">
        <f t="shared" si="7"/>
        <v>0.62687885566114343</v>
      </c>
      <c r="K32" s="11">
        <f t="shared" si="7"/>
        <v>0.50150308452891479</v>
      </c>
      <c r="L32" s="11">
        <f t="shared" si="7"/>
        <v>0.37612731339668609</v>
      </c>
      <c r="M32" s="11">
        <f t="shared" si="7"/>
        <v>0.25075154226445739</v>
      </c>
      <c r="N32" s="30">
        <f t="shared" si="8"/>
        <v>14.684352248927894</v>
      </c>
      <c r="O32" s="30">
        <f t="shared" si="9"/>
        <v>29.729444784795334</v>
      </c>
      <c r="P32" s="30">
        <f t="shared" si="10"/>
        <v>44.774537320662787</v>
      </c>
      <c r="Q32" s="30">
        <f t="shared" si="11"/>
        <v>59.819629856530227</v>
      </c>
      <c r="R32" s="30">
        <f t="shared" si="12"/>
        <v>74.864722392397667</v>
      </c>
      <c r="S32" s="30">
        <f t="shared" si="13"/>
        <v>89.909814928265121</v>
      </c>
      <c r="T32" s="14">
        <v>0</v>
      </c>
      <c r="U32" s="16">
        <f t="shared" si="14"/>
        <v>-5.1395232871247643E-2</v>
      </c>
      <c r="V32" s="16">
        <f t="shared" si="15"/>
        <v>-0.10405305674678367</v>
      </c>
      <c r="W32" s="16">
        <f t="shared" si="16"/>
        <v>-0.15671088062231975</v>
      </c>
      <c r="X32" s="16">
        <f t="shared" si="17"/>
        <v>-0.20936870449785577</v>
      </c>
      <c r="Y32" s="16">
        <f t="shared" si="18"/>
        <v>-0.2620265283733918</v>
      </c>
      <c r="Z32" s="16">
        <f t="shared" si="19"/>
        <v>-0.31468435224892788</v>
      </c>
    </row>
    <row r="33" spans="1:26" x14ac:dyDescent="0.25">
      <c r="A33" s="22" t="s">
        <v>18</v>
      </c>
      <c r="B33" s="21">
        <v>45</v>
      </c>
      <c r="D33" s="7">
        <f t="shared" si="20"/>
        <v>323.75</v>
      </c>
      <c r="E33" s="27">
        <f t="shared" si="21"/>
        <v>0.12272727272727273</v>
      </c>
      <c r="F33" s="7">
        <f t="shared" si="22"/>
        <v>363.48295454545456</v>
      </c>
      <c r="H33" s="11">
        <f t="shared" si="23"/>
        <v>0.9629062260641208</v>
      </c>
      <c r="I33" s="11">
        <f t="shared" si="7"/>
        <v>0.8253481937692464</v>
      </c>
      <c r="J33" s="11">
        <f t="shared" si="7"/>
        <v>0.687790161474372</v>
      </c>
      <c r="K33" s="11">
        <f t="shared" si="7"/>
        <v>0.5502321291794976</v>
      </c>
      <c r="L33" s="11">
        <f t="shared" si="7"/>
        <v>0.4126740968846232</v>
      </c>
      <c r="M33" s="11">
        <f t="shared" si="7"/>
        <v>0.2751160645897488</v>
      </c>
      <c r="N33" s="30">
        <f t="shared" si="8"/>
        <v>4.4512528723055027</v>
      </c>
      <c r="O33" s="30">
        <f t="shared" si="9"/>
        <v>20.958216747690429</v>
      </c>
      <c r="P33" s="30">
        <f t="shared" si="10"/>
        <v>37.465180623075355</v>
      </c>
      <c r="Q33" s="30">
        <f t="shared" si="11"/>
        <v>53.972144498460295</v>
      </c>
      <c r="R33" s="30">
        <f t="shared" si="12"/>
        <v>70.479108373845207</v>
      </c>
      <c r="S33" s="30">
        <f t="shared" si="13"/>
        <v>86.986072249230148</v>
      </c>
      <c r="T33" s="14">
        <v>0</v>
      </c>
      <c r="U33" s="16">
        <f t="shared" si="14"/>
        <v>-1.5579385053069272E-2</v>
      </c>
      <c r="V33" s="16">
        <f t="shared" si="15"/>
        <v>-7.3353758616916509E-2</v>
      </c>
      <c r="W33" s="16">
        <f t="shared" si="16"/>
        <v>-0.13112813218076375</v>
      </c>
      <c r="X33" s="16">
        <f t="shared" si="17"/>
        <v>-0.18890250574461101</v>
      </c>
      <c r="Y33" s="16">
        <f t="shared" si="18"/>
        <v>-0.24667687930845825</v>
      </c>
      <c r="Z33" s="16">
        <f t="shared" si="19"/>
        <v>-0.30445125287230551</v>
      </c>
    </row>
    <row r="34" spans="1:26" x14ac:dyDescent="0.25">
      <c r="A34" s="21" t="s">
        <v>19</v>
      </c>
      <c r="B34" s="21">
        <v>20</v>
      </c>
      <c r="D34" s="7">
        <f t="shared" si="20"/>
        <v>323.75</v>
      </c>
      <c r="E34" s="27">
        <f t="shared" si="21"/>
        <v>5.4545454545454543E-2</v>
      </c>
      <c r="F34" s="7">
        <f t="shared" si="22"/>
        <v>341.40909090909088</v>
      </c>
      <c r="H34" s="11">
        <f t="shared" si="23"/>
        <v>1</v>
      </c>
      <c r="I34" s="11">
        <f t="shared" si="7"/>
        <v>0.87871122353880982</v>
      </c>
      <c r="J34" s="11">
        <f t="shared" si="7"/>
        <v>0.73225935294900824</v>
      </c>
      <c r="K34" s="11">
        <f t="shared" si="7"/>
        <v>0.58580748235920654</v>
      </c>
      <c r="L34" s="11">
        <f t="shared" si="7"/>
        <v>0.43935561176940491</v>
      </c>
      <c r="M34" s="11">
        <f t="shared" si="7"/>
        <v>0.29290374117960327</v>
      </c>
      <c r="N34" s="30">
        <f t="shared" si="8"/>
        <v>0</v>
      </c>
      <c r="O34" s="30">
        <f t="shared" si="9"/>
        <v>14.554653175342821</v>
      </c>
      <c r="P34" s="30">
        <f t="shared" si="10"/>
        <v>32.128877646119008</v>
      </c>
      <c r="Q34" s="30">
        <f t="shared" si="11"/>
        <v>49.703102116895209</v>
      </c>
      <c r="R34" s="30">
        <f t="shared" si="12"/>
        <v>67.277326587671411</v>
      </c>
      <c r="S34" s="30">
        <f t="shared" si="13"/>
        <v>84.851551058447598</v>
      </c>
      <c r="T34" s="14">
        <v>0</v>
      </c>
      <c r="U34" s="16">
        <f t="shared" si="14"/>
        <v>0</v>
      </c>
      <c r="V34" s="16">
        <f t="shared" si="15"/>
        <v>-5.0941286113699857E-2</v>
      </c>
      <c r="W34" s="16">
        <f t="shared" si="16"/>
        <v>-0.11245107176141655</v>
      </c>
      <c r="X34" s="16">
        <f t="shared" si="17"/>
        <v>-0.17396085740913325</v>
      </c>
      <c r="Y34" s="16">
        <f t="shared" si="18"/>
        <v>-0.23547064305684992</v>
      </c>
      <c r="Z34" s="16">
        <f t="shared" si="19"/>
        <v>-0.29698042870456665</v>
      </c>
    </row>
    <row r="35" spans="1:26" x14ac:dyDescent="0.25">
      <c r="A35" s="21" t="s">
        <v>20</v>
      </c>
      <c r="B35" s="21">
        <v>20</v>
      </c>
      <c r="D35" s="7">
        <f t="shared" si="20"/>
        <v>323.75</v>
      </c>
      <c r="E35" s="27">
        <f t="shared" si="21"/>
        <v>5.4545454545454543E-2</v>
      </c>
      <c r="F35" s="7">
        <f t="shared" si="22"/>
        <v>341.40909090909088</v>
      </c>
      <c r="H35" s="11">
        <f t="shared" si="23"/>
        <v>1</v>
      </c>
      <c r="I35" s="11">
        <f t="shared" si="7"/>
        <v>0.87871122353880982</v>
      </c>
      <c r="J35" s="11">
        <f t="shared" si="7"/>
        <v>0.73225935294900824</v>
      </c>
      <c r="K35" s="11">
        <f t="shared" si="7"/>
        <v>0.58580748235920654</v>
      </c>
      <c r="L35" s="11">
        <f t="shared" si="7"/>
        <v>0.43935561176940491</v>
      </c>
      <c r="M35" s="11">
        <f t="shared" si="7"/>
        <v>0.29290374117960327</v>
      </c>
      <c r="N35" s="30">
        <f t="shared" si="8"/>
        <v>0</v>
      </c>
      <c r="O35" s="30">
        <f t="shared" si="9"/>
        <v>14.554653175342821</v>
      </c>
      <c r="P35" s="30">
        <f t="shared" si="10"/>
        <v>32.128877646119008</v>
      </c>
      <c r="Q35" s="30">
        <f t="shared" si="11"/>
        <v>49.703102116895209</v>
      </c>
      <c r="R35" s="30">
        <f t="shared" si="12"/>
        <v>67.277326587671411</v>
      </c>
      <c r="S35" s="30">
        <f t="shared" si="13"/>
        <v>84.851551058447598</v>
      </c>
      <c r="T35" s="14">
        <v>0</v>
      </c>
      <c r="U35" s="16">
        <f t="shared" si="14"/>
        <v>0</v>
      </c>
      <c r="V35" s="16">
        <f t="shared" si="15"/>
        <v>-5.0941286113699857E-2</v>
      </c>
      <c r="W35" s="16">
        <f t="shared" si="16"/>
        <v>-0.11245107176141655</v>
      </c>
      <c r="X35" s="16">
        <f t="shared" si="17"/>
        <v>-0.17396085740913325</v>
      </c>
      <c r="Y35" s="16">
        <f t="shared" si="18"/>
        <v>-0.23547064305684992</v>
      </c>
      <c r="Z35" s="16">
        <f t="shared" si="19"/>
        <v>-0.29698042870456665</v>
      </c>
    </row>
    <row r="36" spans="1:26" x14ac:dyDescent="0.25">
      <c r="A36" s="21" t="s">
        <v>21</v>
      </c>
      <c r="B36" s="21">
        <v>65</v>
      </c>
      <c r="D36" s="7">
        <f t="shared" si="20"/>
        <v>323.75</v>
      </c>
      <c r="E36" s="27">
        <f t="shared" si="21"/>
        <v>0.17727272727272728</v>
      </c>
      <c r="F36" s="7">
        <f t="shared" si="22"/>
        <v>381.14204545454544</v>
      </c>
      <c r="H36" s="11">
        <f t="shared" si="23"/>
        <v>0.9182928101847021</v>
      </c>
      <c r="I36" s="11">
        <f t="shared" si="7"/>
        <v>0.78710812301545896</v>
      </c>
      <c r="J36" s="11">
        <f t="shared" si="7"/>
        <v>0.65592343584621582</v>
      </c>
      <c r="K36" s="11">
        <f t="shared" si="7"/>
        <v>0.52473874867697268</v>
      </c>
      <c r="L36" s="11">
        <f t="shared" si="7"/>
        <v>0.39355406150772948</v>
      </c>
      <c r="M36" s="11">
        <f t="shared" si="7"/>
        <v>0.26236937433848634</v>
      </c>
      <c r="N36" s="30">
        <f t="shared" si="8"/>
        <v>9.8048627778357513</v>
      </c>
      <c r="O36" s="30">
        <f t="shared" si="9"/>
        <v>25.547025238144926</v>
      </c>
      <c r="P36" s="30">
        <f t="shared" si="10"/>
        <v>41.2891876984541</v>
      </c>
      <c r="Q36" s="30">
        <f t="shared" si="11"/>
        <v>57.031350158763281</v>
      </c>
      <c r="R36" s="30">
        <f t="shared" si="12"/>
        <v>72.773512619072463</v>
      </c>
      <c r="S36" s="30">
        <f t="shared" si="13"/>
        <v>88.515675079381637</v>
      </c>
      <c r="T36" s="14">
        <v>0</v>
      </c>
      <c r="U36" s="16">
        <f t="shared" si="14"/>
        <v>-3.4317019722425124E-2</v>
      </c>
      <c r="V36" s="16">
        <f t="shared" si="15"/>
        <v>-8.9414588333507239E-2</v>
      </c>
      <c r="W36" s="16">
        <f t="shared" si="16"/>
        <v>-0.14451215694458935</v>
      </c>
      <c r="X36" s="16">
        <f t="shared" si="17"/>
        <v>-0.19960972555567147</v>
      </c>
      <c r="Y36" s="16">
        <f t="shared" si="18"/>
        <v>-0.25470729416675364</v>
      </c>
      <c r="Z36" s="16">
        <f t="shared" si="19"/>
        <v>-0.3098048627778357</v>
      </c>
    </row>
    <row r="37" spans="1:26" x14ac:dyDescent="0.25">
      <c r="A37" s="21" t="s">
        <v>16</v>
      </c>
      <c r="B37" s="21">
        <v>45</v>
      </c>
      <c r="D37" s="7">
        <f t="shared" si="20"/>
        <v>323.75</v>
      </c>
      <c r="E37" s="27">
        <f t="shared" si="21"/>
        <v>0.12272727272727273</v>
      </c>
      <c r="F37" s="7">
        <f t="shared" si="22"/>
        <v>363.48295454545456</v>
      </c>
      <c r="H37" s="11">
        <f t="shared" si="23"/>
        <v>0.9629062260641208</v>
      </c>
      <c r="I37" s="11">
        <f t="shared" si="7"/>
        <v>0.8253481937692464</v>
      </c>
      <c r="J37" s="11">
        <f t="shared" si="7"/>
        <v>0.687790161474372</v>
      </c>
      <c r="K37" s="11">
        <f t="shared" si="7"/>
        <v>0.5502321291794976</v>
      </c>
      <c r="L37" s="11">
        <f t="shared" si="7"/>
        <v>0.4126740968846232</v>
      </c>
      <c r="M37" s="11">
        <f t="shared" si="7"/>
        <v>0.2751160645897488</v>
      </c>
      <c r="N37" s="30">
        <f t="shared" si="8"/>
        <v>4.4512528723055027</v>
      </c>
      <c r="O37" s="30">
        <f t="shared" si="9"/>
        <v>20.958216747690429</v>
      </c>
      <c r="P37" s="30">
        <f t="shared" si="10"/>
        <v>37.465180623075355</v>
      </c>
      <c r="Q37" s="30">
        <f t="shared" si="11"/>
        <v>53.972144498460295</v>
      </c>
      <c r="R37" s="30">
        <f t="shared" si="12"/>
        <v>70.479108373845207</v>
      </c>
      <c r="S37" s="30">
        <f t="shared" si="13"/>
        <v>86.986072249230148</v>
      </c>
      <c r="T37" s="14">
        <v>0</v>
      </c>
      <c r="U37" s="16">
        <f t="shared" si="14"/>
        <v>-1.5579385053069272E-2</v>
      </c>
      <c r="V37" s="16">
        <f t="shared" si="15"/>
        <v>-7.3353758616916509E-2</v>
      </c>
      <c r="W37" s="16">
        <f t="shared" si="16"/>
        <v>-0.13112813218076375</v>
      </c>
      <c r="X37" s="16">
        <f t="shared" si="17"/>
        <v>-0.18890250574461101</v>
      </c>
      <c r="Y37" s="16">
        <f t="shared" si="18"/>
        <v>-0.24667687930845825</v>
      </c>
      <c r="Z37" s="16">
        <f t="shared" si="19"/>
        <v>-0.30445125287230551</v>
      </c>
    </row>
    <row r="38" spans="1:26" ht="15.75" thickBot="1" x14ac:dyDescent="0.3">
      <c r="A38" s="23" t="s">
        <v>22</v>
      </c>
      <c r="B38" s="26">
        <v>10</v>
      </c>
      <c r="D38" s="7">
        <f t="shared" si="20"/>
        <v>323.75</v>
      </c>
      <c r="E38" s="27">
        <f t="shared" si="21"/>
        <v>2.7272727272727271E-2</v>
      </c>
      <c r="F38" s="7">
        <f t="shared" si="22"/>
        <v>332.5795454545455</v>
      </c>
      <c r="H38" s="11">
        <f t="shared" si="23"/>
        <v>1</v>
      </c>
      <c r="I38" s="11">
        <f t="shared" si="7"/>
        <v>0.90203984009293736</v>
      </c>
      <c r="J38" s="11">
        <f t="shared" si="7"/>
        <v>0.75169986674411449</v>
      </c>
      <c r="K38" s="11">
        <f t="shared" si="7"/>
        <v>0.6013598933952915</v>
      </c>
      <c r="L38" s="11">
        <f t="shared" si="7"/>
        <v>0.45101992004646868</v>
      </c>
      <c r="M38" s="11">
        <f t="shared" si="7"/>
        <v>0.30067994669764575</v>
      </c>
      <c r="N38" s="30">
        <f t="shared" si="8"/>
        <v>0</v>
      </c>
      <c r="O38" s="30">
        <f t="shared" si="9"/>
        <v>11.755219188847519</v>
      </c>
      <c r="P38" s="30">
        <f t="shared" si="10"/>
        <v>29.796015990706266</v>
      </c>
      <c r="Q38" s="30">
        <f t="shared" si="11"/>
        <v>47.836812792565013</v>
      </c>
      <c r="R38" s="30">
        <f t="shared" si="12"/>
        <v>65.87760959442376</v>
      </c>
      <c r="S38" s="30">
        <f t="shared" si="13"/>
        <v>83.918406396282506</v>
      </c>
      <c r="T38" s="14">
        <v>0</v>
      </c>
      <c r="U38" s="16">
        <f t="shared" si="14"/>
        <v>0</v>
      </c>
      <c r="V38" s="16">
        <f t="shared" si="15"/>
        <v>-4.1143267160966279E-2</v>
      </c>
      <c r="W38" s="16">
        <f t="shared" si="16"/>
        <v>-0.10428605596747192</v>
      </c>
      <c r="X38" s="16">
        <f t="shared" si="17"/>
        <v>-0.16742884477397757</v>
      </c>
      <c r="Y38" s="16">
        <f t="shared" si="18"/>
        <v>-0.23057163358048313</v>
      </c>
      <c r="Z38" s="16">
        <f t="shared" si="19"/>
        <v>-0.29371442238698875</v>
      </c>
    </row>
    <row r="40" spans="1:26" x14ac:dyDescent="0.25">
      <c r="P40" t="s">
        <v>119</v>
      </c>
      <c r="U40">
        <v>21</v>
      </c>
      <c r="V40">
        <v>22</v>
      </c>
      <c r="W40">
        <v>23</v>
      </c>
      <c r="X40">
        <v>24</v>
      </c>
      <c r="Y40">
        <v>25</v>
      </c>
      <c r="Z40">
        <v>26</v>
      </c>
    </row>
    <row r="41" spans="1:26" x14ac:dyDescent="0.25">
      <c r="P41" s="11">
        <v>-0.21</v>
      </c>
      <c r="Q41" s="12">
        <v>0.5</v>
      </c>
    </row>
    <row r="42" spans="1:26" x14ac:dyDescent="0.25">
      <c r="P42" s="12">
        <v>0</v>
      </c>
      <c r="Q42" s="12">
        <v>1</v>
      </c>
    </row>
    <row r="43" spans="1:26" ht="49.5" customHeight="1" x14ac:dyDescent="0.25"/>
    <row r="62" spans="3:3" x14ac:dyDescent="0.25">
      <c r="C62" s="27"/>
    </row>
    <row r="63" spans="3:3" x14ac:dyDescent="0.25">
      <c r="C63" s="27"/>
    </row>
    <row r="65" spans="2:2" x14ac:dyDescent="0.25">
      <c r="B65"/>
    </row>
  </sheetData>
  <conditionalFormatting sqref="A45:A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29BE-188C-49A4-B812-98D65F36937F}">
  <dimension ref="A1:S38"/>
  <sheetViews>
    <sheetView topLeftCell="C12" zoomScale="90" zoomScaleNormal="90" workbookViewId="0">
      <selection activeCell="M25" sqref="M25:R36"/>
    </sheetView>
  </sheetViews>
  <sheetFormatPr defaultRowHeight="15" x14ac:dyDescent="0.25"/>
  <cols>
    <col min="1" max="1" width="38" customWidth="1"/>
    <col min="2" max="2" width="29.140625" customWidth="1"/>
    <col min="3" max="3" width="20.140625" customWidth="1"/>
    <col min="8" max="18" width="19.140625" style="7" customWidth="1"/>
  </cols>
  <sheetData>
    <row r="1" spans="1:18" ht="15.75" thickBot="1" x14ac:dyDescent="0.3"/>
    <row r="2" spans="1:18" x14ac:dyDescent="0.25">
      <c r="A2" s="56"/>
      <c r="B2" s="72" t="s">
        <v>164</v>
      </c>
      <c r="C2" s="72"/>
      <c r="D2" s="72"/>
      <c r="E2" s="119" t="s">
        <v>165</v>
      </c>
      <c r="F2" s="119"/>
      <c r="G2" s="120"/>
    </row>
    <row r="3" spans="1:18" ht="18.75" x14ac:dyDescent="0.3">
      <c r="A3" s="57"/>
      <c r="B3" s="63">
        <v>6.5</v>
      </c>
      <c r="C3" s="63">
        <v>8</v>
      </c>
      <c r="D3" s="63">
        <v>9.5</v>
      </c>
      <c r="E3" s="63">
        <v>6.5</v>
      </c>
      <c r="F3" s="63">
        <v>8</v>
      </c>
      <c r="G3" s="64">
        <v>9.5</v>
      </c>
    </row>
    <row r="4" spans="1:18" x14ac:dyDescent="0.25">
      <c r="A4" s="58" t="s">
        <v>54</v>
      </c>
      <c r="B4" s="55">
        <v>-3.2021741699161103E-2</v>
      </c>
      <c r="C4" s="55">
        <v>-6.8651778329197763E-2</v>
      </c>
      <c r="D4" s="55">
        <v>-0.11331679073614566</v>
      </c>
      <c r="E4" s="55">
        <v>-3.5516454871293637E-2</v>
      </c>
      <c r="F4" s="55">
        <v>-6.2546772224191638E-2</v>
      </c>
      <c r="G4" s="59">
        <v>-0.109771948481626</v>
      </c>
    </row>
    <row r="5" spans="1:18" x14ac:dyDescent="0.25">
      <c r="A5" s="58" t="s">
        <v>27</v>
      </c>
      <c r="B5" s="55">
        <v>-3.6017745695165096E-2</v>
      </c>
      <c r="C5" s="55">
        <v>-5.5210918114143991E-2</v>
      </c>
      <c r="D5" s="55">
        <v>-8.6730473827248147E-2</v>
      </c>
      <c r="E5" s="55">
        <v>-1.5966112740306338E-2</v>
      </c>
      <c r="F5" s="55">
        <v>-4.90763716570169E-2</v>
      </c>
      <c r="G5" s="59">
        <v>-8.5194375516956286E-2</v>
      </c>
    </row>
    <row r="6" spans="1:18" ht="15.75" thickBot="1" x14ac:dyDescent="0.3">
      <c r="A6" s="60" t="s">
        <v>28</v>
      </c>
      <c r="B6" s="61">
        <v>1.2879593524754755E-2</v>
      </c>
      <c r="C6" s="61">
        <v>-4.9841244430214322E-2</v>
      </c>
      <c r="D6" s="61">
        <v>-0.10435621725944316</v>
      </c>
      <c r="E6" s="61">
        <v>2.0126826578439418E-2</v>
      </c>
      <c r="F6" s="61">
        <v>-2.6668671829962218E-2</v>
      </c>
      <c r="G6" s="62">
        <v>-0.12048524951750769</v>
      </c>
    </row>
    <row r="7" spans="1:18" x14ac:dyDescent="0.25">
      <c r="D7" s="7"/>
      <c r="E7" s="7"/>
      <c r="F7" s="7"/>
      <c r="G7" s="7"/>
    </row>
    <row r="8" spans="1:18" x14ac:dyDescent="0.25">
      <c r="A8" s="65" t="s">
        <v>166</v>
      </c>
    </row>
    <row r="9" spans="1:18" x14ac:dyDescent="0.25">
      <c r="D9" s="7"/>
      <c r="E9" s="7"/>
      <c r="F9" s="7"/>
      <c r="G9" s="7"/>
    </row>
    <row r="10" spans="1:18" x14ac:dyDescent="0.25">
      <c r="D10" s="7"/>
      <c r="E10" s="7"/>
      <c r="F10" s="7"/>
      <c r="G10" s="7"/>
    </row>
    <row r="11" spans="1:18" ht="15.75" thickBot="1" x14ac:dyDescent="0.3"/>
    <row r="12" spans="1:18" x14ac:dyDescent="0.25">
      <c r="D12" s="66" t="s">
        <v>54</v>
      </c>
      <c r="E12" s="67">
        <v>-6.5599275276694707E-2</v>
      </c>
    </row>
    <row r="13" spans="1:18" x14ac:dyDescent="0.25">
      <c r="C13" t="s">
        <v>167</v>
      </c>
      <c r="D13" s="68" t="s">
        <v>27</v>
      </c>
      <c r="E13" s="69">
        <v>-5.2143644885580445E-2</v>
      </c>
    </row>
    <row r="14" spans="1:18" ht="15.75" thickBot="1" x14ac:dyDescent="0.3">
      <c r="D14" s="70" t="s">
        <v>28</v>
      </c>
      <c r="E14" s="71">
        <v>-3.8254958130088272E-2</v>
      </c>
      <c r="F14" s="7"/>
      <c r="G14" s="7"/>
      <c r="P14" s="8"/>
      <c r="Q14" s="8" t="s">
        <v>168</v>
      </c>
      <c r="R14" s="8"/>
    </row>
    <row r="15" spans="1:18" x14ac:dyDescent="0.25">
      <c r="D15" s="7"/>
      <c r="E15" s="7"/>
      <c r="F15" s="7"/>
      <c r="G15" s="7"/>
      <c r="Q15" s="73">
        <f>0.2/8.8</f>
        <v>2.2727272727272728E-2</v>
      </c>
    </row>
    <row r="18" spans="1:19" x14ac:dyDescent="0.25">
      <c r="A18" s="5"/>
    </row>
    <row r="19" spans="1:19" x14ac:dyDescent="0.25"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9" x14ac:dyDescent="0.25">
      <c r="H20" s="27" t="s">
        <v>126</v>
      </c>
      <c r="I20" s="27" t="s">
        <v>127</v>
      </c>
      <c r="J20" s="27"/>
      <c r="K20" s="27"/>
      <c r="L20" s="27"/>
      <c r="M20" s="27"/>
      <c r="N20" s="27"/>
      <c r="O20" s="27"/>
      <c r="P20" s="27"/>
      <c r="Q20" s="27"/>
      <c r="R20" s="27"/>
    </row>
    <row r="21" spans="1:19" x14ac:dyDescent="0.25">
      <c r="H21" s="27">
        <v>0.45</v>
      </c>
      <c r="I21" s="27">
        <v>0.45</v>
      </c>
      <c r="J21" s="27"/>
      <c r="K21" s="27"/>
      <c r="L21" s="27"/>
      <c r="M21" s="27" t="s">
        <v>169</v>
      </c>
      <c r="N21" s="27"/>
      <c r="O21" s="27"/>
      <c r="P21" s="27"/>
      <c r="Q21" s="27"/>
      <c r="R21" s="27"/>
    </row>
    <row r="22" spans="1:19" ht="45" x14ac:dyDescent="0.25">
      <c r="H22" s="27"/>
      <c r="I22" s="27"/>
      <c r="J22" s="27"/>
      <c r="K22" s="27"/>
      <c r="L22" s="27"/>
      <c r="M22" s="88" t="str">
        <f t="shared" ref="M22:R22" si="0">M24&amp;" - "&amp;M23</f>
        <v>semina Anticipata (prima 10 apr) - LumiGEN Premium</v>
      </c>
      <c r="N22" s="88" t="str">
        <f t="shared" si="0"/>
        <v>semina (10 apr-10 mag) - LumiGEN Premium</v>
      </c>
      <c r="O22" s="88" t="str">
        <f t="shared" si="0"/>
        <v>seconda semina (&gt;10 mag) - LumiGEN Premium</v>
      </c>
      <c r="P22" s="88" t="str">
        <f t="shared" si="0"/>
        <v>semina Anticipata (prima 10 apr) - LumiGEN Standard</v>
      </c>
      <c r="Q22" s="88" t="str">
        <f t="shared" si="0"/>
        <v>semina (10 apr-10 mag) - LumiGEN Standard</v>
      </c>
      <c r="R22" s="88" t="str">
        <f t="shared" si="0"/>
        <v>seconda semina (&gt;10 mag) - LumiGEN Standard</v>
      </c>
    </row>
    <row r="23" spans="1:19" ht="49.5" customHeight="1" x14ac:dyDescent="0.25">
      <c r="H23" s="19" t="s">
        <v>124</v>
      </c>
      <c r="I23" s="19" t="s">
        <v>124</v>
      </c>
      <c r="J23" s="19">
        <v>25</v>
      </c>
      <c r="K23" s="19">
        <v>18</v>
      </c>
      <c r="L23" s="19">
        <v>7</v>
      </c>
      <c r="M23" s="34" t="s">
        <v>186</v>
      </c>
      <c r="N23" s="34" t="s">
        <v>186</v>
      </c>
      <c r="O23" s="34" t="s">
        <v>186</v>
      </c>
      <c r="P23" s="34" t="s">
        <v>187</v>
      </c>
      <c r="Q23" s="34" t="s">
        <v>187</v>
      </c>
      <c r="R23" s="34" t="s">
        <v>187</v>
      </c>
    </row>
    <row r="24" spans="1:19" ht="45.75" thickBot="1" x14ac:dyDescent="0.3">
      <c r="A24" s="3" t="s">
        <v>24</v>
      </c>
      <c r="B24" s="3" t="s">
        <v>25</v>
      </c>
      <c r="C24" s="3" t="s">
        <v>26</v>
      </c>
      <c r="D24" s="3" t="s">
        <v>53</v>
      </c>
      <c r="E24" s="3" t="s">
        <v>69</v>
      </c>
      <c r="F24" s="3" t="s">
        <v>85</v>
      </c>
      <c r="G24" s="3" t="s">
        <v>86</v>
      </c>
      <c r="H24" s="31" t="s">
        <v>129</v>
      </c>
      <c r="I24" s="31" t="s">
        <v>128</v>
      </c>
      <c r="J24" s="31" t="s">
        <v>122</v>
      </c>
      <c r="K24" s="31" t="s">
        <v>123</v>
      </c>
      <c r="L24" s="31" t="s">
        <v>125</v>
      </c>
      <c r="M24" s="31" t="s">
        <v>122</v>
      </c>
      <c r="N24" s="31" t="s">
        <v>123</v>
      </c>
      <c r="O24" s="31" t="s">
        <v>125</v>
      </c>
      <c r="P24" s="31" t="s">
        <v>122</v>
      </c>
      <c r="Q24" s="31" t="s">
        <v>123</v>
      </c>
      <c r="R24" s="31" t="s">
        <v>125</v>
      </c>
    </row>
    <row r="25" spans="1:19" x14ac:dyDescent="0.25">
      <c r="A25" t="s">
        <v>5</v>
      </c>
      <c r="B25" s="5" t="s">
        <v>11</v>
      </c>
      <c r="C25">
        <v>6</v>
      </c>
      <c r="D25" t="s">
        <v>28</v>
      </c>
      <c r="E25">
        <v>85</v>
      </c>
      <c r="F25">
        <v>5</v>
      </c>
      <c r="G25">
        <v>10</v>
      </c>
      <c r="H25" s="32">
        <f t="shared" ref="H25:H36" si="1">(F25/45)*0.06</f>
        <v>6.6666666666666662E-3</v>
      </c>
      <c r="I25" s="32">
        <f t="shared" ref="I25:I36" si="2">(G25/45)*0.06</f>
        <v>1.3333333333333332E-2</v>
      </c>
      <c r="J25" s="33">
        <f>K25/$K$23*$J$23</f>
        <v>1.3888888888888886E-2</v>
      </c>
      <c r="K25" s="32">
        <f>AVERAGE(H25:I25)</f>
        <v>9.9999999999999985E-3</v>
      </c>
      <c r="L25" s="33">
        <f>K25/$K$23*$L$23</f>
        <v>3.8888888888888879E-3</v>
      </c>
      <c r="M25" s="77">
        <f>J25</f>
        <v>1.3888888888888886E-2</v>
      </c>
      <c r="N25" s="81">
        <f>K25</f>
        <v>9.9999999999999985E-3</v>
      </c>
      <c r="O25" s="81">
        <f>L25</f>
        <v>3.8888888888888879E-3</v>
      </c>
      <c r="P25" s="81">
        <f t="shared" ref="P25:P36" si="3">M25+$Q$15</f>
        <v>3.6616161616161616E-2</v>
      </c>
      <c r="Q25" s="81">
        <f t="shared" ref="Q25:Q36" si="4">N25+$Q$15</f>
        <v>3.272727272727273E-2</v>
      </c>
      <c r="R25" s="82">
        <f t="shared" ref="R25:R36" si="5">O25+$Q$15</f>
        <v>2.6616161616161614E-2</v>
      </c>
      <c r="S25" s="12">
        <f>P25-M25</f>
        <v>2.2727272727272728E-2</v>
      </c>
    </row>
    <row r="26" spans="1:19" x14ac:dyDescent="0.25">
      <c r="A26" t="s">
        <v>4</v>
      </c>
      <c r="B26" t="s">
        <v>13</v>
      </c>
      <c r="C26">
        <v>5</v>
      </c>
      <c r="D26" t="s">
        <v>28</v>
      </c>
      <c r="E26">
        <v>70</v>
      </c>
      <c r="F26">
        <v>30</v>
      </c>
      <c r="G26">
        <v>0</v>
      </c>
      <c r="H26" s="32">
        <f t="shared" si="1"/>
        <v>3.9999999999999994E-2</v>
      </c>
      <c r="I26" s="32">
        <f t="shared" si="2"/>
        <v>0</v>
      </c>
      <c r="J26" s="33">
        <f t="shared" ref="J26:J36" si="6">K26/$K$23*$J$23</f>
        <v>2.7777777777777773E-2</v>
      </c>
      <c r="K26" s="32">
        <f t="shared" ref="K26:K36" si="7">AVERAGE(H26:I26)</f>
        <v>1.9999999999999997E-2</v>
      </c>
      <c r="L26" s="33">
        <f t="shared" ref="L26:L36" si="8">K26/$K$23*$L$23</f>
        <v>7.7777777777777758E-3</v>
      </c>
      <c r="M26" s="46">
        <f t="shared" ref="M26:O36" si="9">J26</f>
        <v>2.7777777777777773E-2</v>
      </c>
      <c r="N26" s="42">
        <f t="shared" si="9"/>
        <v>1.9999999999999997E-2</v>
      </c>
      <c r="O26" s="42">
        <f t="shared" si="9"/>
        <v>7.7777777777777758E-3</v>
      </c>
      <c r="P26" s="42">
        <f t="shared" si="3"/>
        <v>5.0505050505050497E-2</v>
      </c>
      <c r="Q26" s="42">
        <f t="shared" si="4"/>
        <v>4.2727272727272725E-2</v>
      </c>
      <c r="R26" s="47">
        <f t="shared" si="5"/>
        <v>3.0505050505050504E-2</v>
      </c>
    </row>
    <row r="27" spans="1:19" x14ac:dyDescent="0.25">
      <c r="A27" t="s">
        <v>2</v>
      </c>
      <c r="B27" t="s">
        <v>12</v>
      </c>
      <c r="C27">
        <v>3</v>
      </c>
      <c r="D27" t="s">
        <v>28</v>
      </c>
      <c r="E27">
        <v>85</v>
      </c>
      <c r="F27">
        <v>15</v>
      </c>
      <c r="G27">
        <v>0</v>
      </c>
      <c r="H27" s="32">
        <f t="shared" si="1"/>
        <v>1.9999999999999997E-2</v>
      </c>
      <c r="I27" s="32">
        <f t="shared" si="2"/>
        <v>0</v>
      </c>
      <c r="J27" s="33">
        <f>K27/$K$23*$J$23</f>
        <v>1.3888888888888886E-2</v>
      </c>
      <c r="K27" s="32">
        <f t="shared" si="7"/>
        <v>9.9999999999999985E-3</v>
      </c>
      <c r="L27" s="33">
        <f t="shared" si="8"/>
        <v>3.8888888888888879E-3</v>
      </c>
      <c r="M27" s="46">
        <f t="shared" si="9"/>
        <v>1.3888888888888886E-2</v>
      </c>
      <c r="N27" s="42">
        <f t="shared" si="9"/>
        <v>9.9999999999999985E-3</v>
      </c>
      <c r="O27" s="42">
        <f t="shared" si="9"/>
        <v>3.8888888888888879E-3</v>
      </c>
      <c r="P27" s="42">
        <f t="shared" si="3"/>
        <v>3.6616161616161616E-2</v>
      </c>
      <c r="Q27" s="42">
        <f t="shared" si="4"/>
        <v>3.272727272727273E-2</v>
      </c>
      <c r="R27" s="47">
        <f t="shared" si="5"/>
        <v>2.6616161616161614E-2</v>
      </c>
    </row>
    <row r="28" spans="1:19" x14ac:dyDescent="0.25">
      <c r="A28" t="s">
        <v>0</v>
      </c>
      <c r="B28" t="s">
        <v>17</v>
      </c>
      <c r="C28">
        <v>1</v>
      </c>
      <c r="D28" t="s">
        <v>54</v>
      </c>
      <c r="E28">
        <v>50</v>
      </c>
      <c r="F28">
        <v>20</v>
      </c>
      <c r="G28">
        <v>30</v>
      </c>
      <c r="H28" s="32">
        <f t="shared" si="1"/>
        <v>2.6666666666666665E-2</v>
      </c>
      <c r="I28" s="32">
        <f t="shared" si="2"/>
        <v>3.9999999999999994E-2</v>
      </c>
      <c r="J28" s="33">
        <f t="shared" si="6"/>
        <v>4.6296296296296287E-2</v>
      </c>
      <c r="K28" s="32">
        <f t="shared" si="7"/>
        <v>3.3333333333333326E-2</v>
      </c>
      <c r="L28" s="33">
        <f t="shared" si="8"/>
        <v>1.2962962962962961E-2</v>
      </c>
      <c r="M28" s="46">
        <f t="shared" si="9"/>
        <v>4.6296296296296287E-2</v>
      </c>
      <c r="N28" s="42">
        <f t="shared" si="9"/>
        <v>3.3333333333333326E-2</v>
      </c>
      <c r="O28" s="42">
        <f t="shared" si="9"/>
        <v>1.2962962962962961E-2</v>
      </c>
      <c r="P28" s="42">
        <f t="shared" si="3"/>
        <v>6.9023569023569015E-2</v>
      </c>
      <c r="Q28" s="42">
        <f t="shared" si="4"/>
        <v>5.6060606060606054E-2</v>
      </c>
      <c r="R28" s="47">
        <f t="shared" si="5"/>
        <v>3.5690235690235689E-2</v>
      </c>
    </row>
    <row r="29" spans="1:19" x14ac:dyDescent="0.25">
      <c r="A29" t="s">
        <v>1</v>
      </c>
      <c r="B29" t="s">
        <v>14</v>
      </c>
      <c r="C29">
        <v>2</v>
      </c>
      <c r="D29" t="s">
        <v>27</v>
      </c>
      <c r="E29">
        <v>55</v>
      </c>
      <c r="F29">
        <v>30</v>
      </c>
      <c r="G29">
        <v>15</v>
      </c>
      <c r="H29" s="32">
        <f t="shared" si="1"/>
        <v>3.9999999999999994E-2</v>
      </c>
      <c r="I29" s="32">
        <f t="shared" si="2"/>
        <v>1.9999999999999997E-2</v>
      </c>
      <c r="J29" s="33">
        <f t="shared" si="6"/>
        <v>4.1666666666666657E-2</v>
      </c>
      <c r="K29" s="32">
        <f t="shared" si="7"/>
        <v>2.9999999999999995E-2</v>
      </c>
      <c r="L29" s="33">
        <f t="shared" si="8"/>
        <v>1.1666666666666664E-2</v>
      </c>
      <c r="M29" s="46">
        <f t="shared" si="9"/>
        <v>4.1666666666666657E-2</v>
      </c>
      <c r="N29" s="42">
        <f t="shared" si="9"/>
        <v>2.9999999999999995E-2</v>
      </c>
      <c r="O29" s="42">
        <f t="shared" si="9"/>
        <v>1.1666666666666664E-2</v>
      </c>
      <c r="P29" s="42">
        <f t="shared" si="3"/>
        <v>6.4393939393939392E-2</v>
      </c>
      <c r="Q29" s="42">
        <f t="shared" si="4"/>
        <v>5.272727272727272E-2</v>
      </c>
      <c r="R29" s="47">
        <f t="shared" si="5"/>
        <v>3.4393939393939393E-2</v>
      </c>
    </row>
    <row r="30" spans="1:19" x14ac:dyDescent="0.25">
      <c r="A30" t="s">
        <v>8</v>
      </c>
      <c r="B30" t="s">
        <v>20</v>
      </c>
      <c r="C30">
        <v>9</v>
      </c>
      <c r="D30" t="s">
        <v>54</v>
      </c>
      <c r="E30">
        <v>20</v>
      </c>
      <c r="F30">
        <v>55</v>
      </c>
      <c r="G30">
        <v>25</v>
      </c>
      <c r="H30" s="32">
        <f t="shared" si="1"/>
        <v>7.3333333333333334E-2</v>
      </c>
      <c r="I30" s="32">
        <f t="shared" si="2"/>
        <v>3.3333333333333333E-2</v>
      </c>
      <c r="J30" s="33">
        <f t="shared" si="6"/>
        <v>7.407407407407407E-2</v>
      </c>
      <c r="K30" s="32">
        <f t="shared" si="7"/>
        <v>5.333333333333333E-2</v>
      </c>
      <c r="L30" s="33">
        <f t="shared" si="8"/>
        <v>2.074074074074074E-2</v>
      </c>
      <c r="M30" s="46">
        <f t="shared" si="9"/>
        <v>7.407407407407407E-2</v>
      </c>
      <c r="N30" s="42">
        <f t="shared" si="9"/>
        <v>5.333333333333333E-2</v>
      </c>
      <c r="O30" s="42">
        <f t="shared" si="9"/>
        <v>2.074074074074074E-2</v>
      </c>
      <c r="P30" s="42">
        <f t="shared" si="3"/>
        <v>9.6801346801346805E-2</v>
      </c>
      <c r="Q30" s="42">
        <f t="shared" si="4"/>
        <v>7.6060606060606051E-2</v>
      </c>
      <c r="R30" s="47">
        <f t="shared" si="5"/>
        <v>4.3468013468013468E-2</v>
      </c>
    </row>
    <row r="31" spans="1:19" x14ac:dyDescent="0.25">
      <c r="A31" t="s">
        <v>9</v>
      </c>
      <c r="B31" t="s">
        <v>16</v>
      </c>
      <c r="C31">
        <v>11</v>
      </c>
      <c r="D31" t="s">
        <v>54</v>
      </c>
      <c r="E31">
        <v>45</v>
      </c>
      <c r="F31">
        <v>30</v>
      </c>
      <c r="G31">
        <v>25</v>
      </c>
      <c r="H31" s="32">
        <f t="shared" si="1"/>
        <v>3.9999999999999994E-2</v>
      </c>
      <c r="I31" s="32">
        <f t="shared" si="2"/>
        <v>3.3333333333333333E-2</v>
      </c>
      <c r="J31" s="33">
        <f t="shared" si="6"/>
        <v>5.0925925925925923E-2</v>
      </c>
      <c r="K31" s="32">
        <f t="shared" si="7"/>
        <v>3.6666666666666667E-2</v>
      </c>
      <c r="L31" s="33">
        <f t="shared" si="8"/>
        <v>1.4259259259259258E-2</v>
      </c>
      <c r="M31" s="46">
        <f t="shared" si="9"/>
        <v>5.0925925925925923E-2</v>
      </c>
      <c r="N31" s="42">
        <f t="shared" si="9"/>
        <v>3.6666666666666667E-2</v>
      </c>
      <c r="O31" s="42">
        <f t="shared" si="9"/>
        <v>1.4259259259259258E-2</v>
      </c>
      <c r="P31" s="42">
        <f t="shared" si="3"/>
        <v>7.3653198653198651E-2</v>
      </c>
      <c r="Q31" s="42">
        <f t="shared" si="4"/>
        <v>5.9393939393939395E-2</v>
      </c>
      <c r="R31" s="47">
        <f t="shared" si="5"/>
        <v>3.6986531986531984E-2</v>
      </c>
    </row>
    <row r="32" spans="1:19" x14ac:dyDescent="0.25">
      <c r="A32" t="s">
        <v>3</v>
      </c>
      <c r="B32" t="s">
        <v>15</v>
      </c>
      <c r="C32">
        <v>4</v>
      </c>
      <c r="D32" t="s">
        <v>54</v>
      </c>
      <c r="E32">
        <v>50</v>
      </c>
      <c r="F32">
        <v>50</v>
      </c>
      <c r="G32">
        <v>0</v>
      </c>
      <c r="H32" s="32">
        <f t="shared" si="1"/>
        <v>6.6666666666666666E-2</v>
      </c>
      <c r="I32" s="32">
        <f t="shared" si="2"/>
        <v>0</v>
      </c>
      <c r="J32" s="33">
        <f t="shared" si="6"/>
        <v>4.6296296296296301E-2</v>
      </c>
      <c r="K32" s="32">
        <f t="shared" si="7"/>
        <v>3.3333333333333333E-2</v>
      </c>
      <c r="L32" s="33">
        <f t="shared" si="8"/>
        <v>1.2962962962962964E-2</v>
      </c>
      <c r="M32" s="46">
        <f t="shared" si="9"/>
        <v>4.6296296296296301E-2</v>
      </c>
      <c r="N32" s="42">
        <f t="shared" si="9"/>
        <v>3.3333333333333333E-2</v>
      </c>
      <c r="O32" s="42">
        <f t="shared" si="9"/>
        <v>1.2962962962962964E-2</v>
      </c>
      <c r="P32" s="42">
        <f t="shared" si="3"/>
        <v>6.9023569023569029E-2</v>
      </c>
      <c r="Q32" s="42">
        <f t="shared" si="4"/>
        <v>5.6060606060606061E-2</v>
      </c>
      <c r="R32" s="47">
        <f t="shared" si="5"/>
        <v>3.5690235690235689E-2</v>
      </c>
    </row>
    <row r="33" spans="1:18" x14ac:dyDescent="0.25">
      <c r="A33" t="s">
        <v>6</v>
      </c>
      <c r="B33" s="5" t="s">
        <v>18</v>
      </c>
      <c r="C33">
        <v>7</v>
      </c>
      <c r="D33" t="s">
        <v>54</v>
      </c>
      <c r="E33">
        <v>45</v>
      </c>
      <c r="F33">
        <v>15</v>
      </c>
      <c r="G33">
        <v>40</v>
      </c>
      <c r="H33" s="32">
        <f t="shared" si="1"/>
        <v>1.9999999999999997E-2</v>
      </c>
      <c r="I33" s="32">
        <f t="shared" si="2"/>
        <v>5.333333333333333E-2</v>
      </c>
      <c r="J33" s="33">
        <f t="shared" si="6"/>
        <v>5.0925925925925923E-2</v>
      </c>
      <c r="K33" s="32">
        <f t="shared" si="7"/>
        <v>3.6666666666666667E-2</v>
      </c>
      <c r="L33" s="33">
        <f t="shared" si="8"/>
        <v>1.4259259259259258E-2</v>
      </c>
      <c r="M33" s="46">
        <f t="shared" si="9"/>
        <v>5.0925925925925923E-2</v>
      </c>
      <c r="N33" s="42">
        <f t="shared" si="9"/>
        <v>3.6666666666666667E-2</v>
      </c>
      <c r="O33" s="42">
        <f t="shared" si="9"/>
        <v>1.4259259259259258E-2</v>
      </c>
      <c r="P33" s="42">
        <f t="shared" si="3"/>
        <v>7.3653198653198651E-2</v>
      </c>
      <c r="Q33" s="42">
        <f t="shared" si="4"/>
        <v>5.9393939393939395E-2</v>
      </c>
      <c r="R33" s="47">
        <f t="shared" si="5"/>
        <v>3.6986531986531984E-2</v>
      </c>
    </row>
    <row r="34" spans="1:18" x14ac:dyDescent="0.25">
      <c r="A34" t="s">
        <v>7</v>
      </c>
      <c r="B34" t="s">
        <v>19</v>
      </c>
      <c r="C34">
        <v>8</v>
      </c>
      <c r="D34" t="s">
        <v>54</v>
      </c>
      <c r="E34">
        <v>20</v>
      </c>
      <c r="F34">
        <v>40</v>
      </c>
      <c r="G34">
        <v>40</v>
      </c>
      <c r="H34" s="32">
        <f t="shared" si="1"/>
        <v>5.333333333333333E-2</v>
      </c>
      <c r="I34" s="32">
        <f t="shared" si="2"/>
        <v>5.333333333333333E-2</v>
      </c>
      <c r="J34" s="33">
        <f t="shared" si="6"/>
        <v>7.407407407407407E-2</v>
      </c>
      <c r="K34" s="32">
        <f t="shared" si="7"/>
        <v>5.333333333333333E-2</v>
      </c>
      <c r="L34" s="33">
        <f t="shared" si="8"/>
        <v>2.074074074074074E-2</v>
      </c>
      <c r="M34" s="46">
        <f t="shared" si="9"/>
        <v>7.407407407407407E-2</v>
      </c>
      <c r="N34" s="42">
        <f t="shared" si="9"/>
        <v>5.333333333333333E-2</v>
      </c>
      <c r="O34" s="42">
        <f t="shared" si="9"/>
        <v>2.074074074074074E-2</v>
      </c>
      <c r="P34" s="42">
        <f t="shared" si="3"/>
        <v>9.6801346801346805E-2</v>
      </c>
      <c r="Q34" s="42">
        <f t="shared" si="4"/>
        <v>7.6060606060606051E-2</v>
      </c>
      <c r="R34" s="47">
        <f t="shared" si="5"/>
        <v>4.3468013468013468E-2</v>
      </c>
    </row>
    <row r="35" spans="1:18" x14ac:dyDescent="0.25">
      <c r="A35" t="s">
        <v>29</v>
      </c>
      <c r="B35" t="s">
        <v>21</v>
      </c>
      <c r="C35">
        <v>10</v>
      </c>
      <c r="D35" t="s">
        <v>54</v>
      </c>
      <c r="E35">
        <v>65</v>
      </c>
      <c r="F35">
        <v>0</v>
      </c>
      <c r="G35">
        <v>35</v>
      </c>
      <c r="H35" s="32">
        <f t="shared" si="1"/>
        <v>0</v>
      </c>
      <c r="I35" s="32">
        <f t="shared" si="2"/>
        <v>4.6666666666666669E-2</v>
      </c>
      <c r="J35" s="33">
        <f t="shared" si="6"/>
        <v>3.2407407407407406E-2</v>
      </c>
      <c r="K35" s="32">
        <f t="shared" si="7"/>
        <v>2.3333333333333334E-2</v>
      </c>
      <c r="L35" s="33">
        <f t="shared" si="8"/>
        <v>9.0740740740740747E-3</v>
      </c>
      <c r="M35" s="46">
        <f t="shared" si="9"/>
        <v>3.2407407407407406E-2</v>
      </c>
      <c r="N35" s="42">
        <f t="shared" si="9"/>
        <v>2.3333333333333334E-2</v>
      </c>
      <c r="O35" s="42">
        <f t="shared" si="9"/>
        <v>9.0740740740740747E-3</v>
      </c>
      <c r="P35" s="42">
        <f t="shared" si="3"/>
        <v>5.5134680134680134E-2</v>
      </c>
      <c r="Q35" s="42">
        <f t="shared" si="4"/>
        <v>4.6060606060606066E-2</v>
      </c>
      <c r="R35" s="47">
        <f t="shared" si="5"/>
        <v>3.1801346801346803E-2</v>
      </c>
    </row>
    <row r="36" spans="1:18" ht="15.75" thickBot="1" x14ac:dyDescent="0.3">
      <c r="A36" t="s">
        <v>10</v>
      </c>
      <c r="B36" s="5" t="s">
        <v>22</v>
      </c>
      <c r="C36">
        <v>12</v>
      </c>
      <c r="D36" t="s">
        <v>54</v>
      </c>
      <c r="E36">
        <v>10</v>
      </c>
      <c r="F36">
        <v>80</v>
      </c>
      <c r="G36">
        <v>10</v>
      </c>
      <c r="H36" s="32">
        <f t="shared" si="1"/>
        <v>0.10666666666666666</v>
      </c>
      <c r="I36" s="32">
        <f t="shared" si="2"/>
        <v>1.3333333333333332E-2</v>
      </c>
      <c r="J36" s="33">
        <f t="shared" si="6"/>
        <v>8.3333333333333329E-2</v>
      </c>
      <c r="K36" s="32">
        <f t="shared" si="7"/>
        <v>0.06</v>
      </c>
      <c r="L36" s="33">
        <f t="shared" si="8"/>
        <v>2.3333333333333331E-2</v>
      </c>
      <c r="M36" s="48">
        <f t="shared" si="9"/>
        <v>8.3333333333333329E-2</v>
      </c>
      <c r="N36" s="49">
        <f t="shared" si="9"/>
        <v>0.06</v>
      </c>
      <c r="O36" s="49">
        <f t="shared" si="9"/>
        <v>2.3333333333333331E-2</v>
      </c>
      <c r="P36" s="49">
        <f t="shared" si="3"/>
        <v>0.10606060606060605</v>
      </c>
      <c r="Q36" s="49">
        <f t="shared" si="4"/>
        <v>8.2727272727272733E-2</v>
      </c>
      <c r="R36" s="50">
        <f t="shared" si="5"/>
        <v>4.6060606060606059E-2</v>
      </c>
    </row>
    <row r="38" spans="1:18" x14ac:dyDescent="0.25">
      <c r="M38" s="7">
        <v>12</v>
      </c>
      <c r="N38" s="7">
        <v>13</v>
      </c>
      <c r="O38" s="7">
        <v>14</v>
      </c>
      <c r="P38" s="7">
        <v>15</v>
      </c>
      <c r="Q38" s="7">
        <v>16</v>
      </c>
      <c r="R38" s="7">
        <v>17</v>
      </c>
    </row>
  </sheetData>
  <mergeCells count="1">
    <mergeCell ref="E2:G2"/>
  </mergeCells>
  <pageMargins left="0.7" right="0.7" top="0.75" bottom="0.75" header="0.3" footer="0.3"/>
  <pageSetup orientation="portrait" r:id="rId1"/>
  <headerFooter>
    <oddFooter>&amp;C&amp;1#&amp;"Arial"&amp;10&amp;K000000---Internal Use---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06FA-D7FC-46E0-9D14-B6E61E75F8DD}">
  <dimension ref="A1:B66"/>
  <sheetViews>
    <sheetView topLeftCell="A39" workbookViewId="0">
      <selection activeCell="A2" sqref="A2:B66"/>
    </sheetView>
  </sheetViews>
  <sheetFormatPr defaultRowHeight="15" x14ac:dyDescent="0.25"/>
  <cols>
    <col min="1" max="1" width="19.28515625" customWidth="1"/>
    <col min="2" max="2" width="17.5703125" customWidth="1"/>
  </cols>
  <sheetData>
    <row r="1" spans="1:2" ht="30" x14ac:dyDescent="0.25">
      <c r="A1" s="108" t="s">
        <v>132</v>
      </c>
      <c r="B1" s="109" t="s">
        <v>221</v>
      </c>
    </row>
    <row r="2" spans="1:2" x14ac:dyDescent="0.25">
      <c r="A2" s="99">
        <v>3235</v>
      </c>
      <c r="B2" s="100">
        <v>7.8</v>
      </c>
    </row>
    <row r="3" spans="1:2" x14ac:dyDescent="0.25">
      <c r="A3" s="99" t="s">
        <v>135</v>
      </c>
      <c r="B3" s="100">
        <v>7.8</v>
      </c>
    </row>
    <row r="4" spans="1:2" x14ac:dyDescent="0.25">
      <c r="A4" s="99" t="s">
        <v>197</v>
      </c>
      <c r="B4" s="100">
        <v>7.5</v>
      </c>
    </row>
    <row r="5" spans="1:2" x14ac:dyDescent="0.25">
      <c r="A5" s="99" t="s">
        <v>219</v>
      </c>
      <c r="B5" s="100">
        <v>8.3000000000000007</v>
      </c>
    </row>
    <row r="6" spans="1:2" x14ac:dyDescent="0.25">
      <c r="A6" s="99" t="s">
        <v>198</v>
      </c>
      <c r="B6" s="100">
        <v>7.8</v>
      </c>
    </row>
    <row r="7" spans="1:2" x14ac:dyDescent="0.25">
      <c r="A7" s="99" t="s">
        <v>199</v>
      </c>
      <c r="B7" s="100">
        <v>8.4</v>
      </c>
    </row>
    <row r="8" spans="1:2" x14ac:dyDescent="0.25">
      <c r="A8" s="99" t="s">
        <v>200</v>
      </c>
      <c r="B8" s="100">
        <v>7.8</v>
      </c>
    </row>
    <row r="9" spans="1:2" x14ac:dyDescent="0.25">
      <c r="A9" s="99" t="s">
        <v>201</v>
      </c>
      <c r="B9" s="100">
        <v>8.1</v>
      </c>
    </row>
    <row r="10" spans="1:2" x14ac:dyDescent="0.25">
      <c r="A10" s="99" t="s">
        <v>141</v>
      </c>
      <c r="B10" s="100">
        <v>8.9</v>
      </c>
    </row>
    <row r="11" spans="1:2" x14ac:dyDescent="0.25">
      <c r="A11" s="99" t="s">
        <v>254</v>
      </c>
      <c r="B11" s="100">
        <v>7.8</v>
      </c>
    </row>
    <row r="12" spans="1:2" x14ac:dyDescent="0.25">
      <c r="A12" s="99" t="s">
        <v>202</v>
      </c>
      <c r="B12" s="100">
        <v>8.1999999999999993</v>
      </c>
    </row>
    <row r="13" spans="1:2" x14ac:dyDescent="0.25">
      <c r="A13" s="99" t="s">
        <v>142</v>
      </c>
      <c r="B13" s="100">
        <v>8.6</v>
      </c>
    </row>
    <row r="14" spans="1:2" x14ac:dyDescent="0.25">
      <c r="A14" s="99" t="s">
        <v>143</v>
      </c>
      <c r="B14" s="100">
        <v>7.9</v>
      </c>
    </row>
    <row r="15" spans="1:2" x14ac:dyDescent="0.25">
      <c r="A15" s="99" t="s">
        <v>44</v>
      </c>
      <c r="B15" s="100">
        <v>8.3000000000000007</v>
      </c>
    </row>
    <row r="16" spans="1:2" x14ac:dyDescent="0.25">
      <c r="A16" s="99" t="s">
        <v>203</v>
      </c>
      <c r="B16" s="100">
        <v>8.6</v>
      </c>
    </row>
    <row r="17" spans="1:2" x14ac:dyDescent="0.25">
      <c r="A17" s="99" t="s">
        <v>255</v>
      </c>
      <c r="B17" s="100">
        <v>8.5</v>
      </c>
    </row>
    <row r="18" spans="1:2" x14ac:dyDescent="0.25">
      <c r="A18" s="99" t="s">
        <v>31</v>
      </c>
      <c r="B18" s="100">
        <v>8.1</v>
      </c>
    </row>
    <row r="19" spans="1:2" x14ac:dyDescent="0.25">
      <c r="A19" s="99" t="s">
        <v>140</v>
      </c>
      <c r="B19" s="100">
        <v>8.1</v>
      </c>
    </row>
    <row r="20" spans="1:2" x14ac:dyDescent="0.25">
      <c r="A20" s="99" t="s">
        <v>41</v>
      </c>
      <c r="B20" s="100">
        <v>8.4</v>
      </c>
    </row>
    <row r="21" spans="1:2" x14ac:dyDescent="0.25">
      <c r="A21" s="99" t="s">
        <v>45</v>
      </c>
      <c r="B21" s="100">
        <v>8.3000000000000007</v>
      </c>
    </row>
    <row r="22" spans="1:2" x14ac:dyDescent="0.25">
      <c r="A22" s="99" t="s">
        <v>204</v>
      </c>
      <c r="B22" s="100">
        <v>7.8</v>
      </c>
    </row>
    <row r="23" spans="1:2" x14ac:dyDescent="0.25">
      <c r="A23" s="99" t="s">
        <v>146</v>
      </c>
      <c r="B23" s="100">
        <v>8.8000000000000007</v>
      </c>
    </row>
    <row r="24" spans="1:2" x14ac:dyDescent="0.25">
      <c r="A24" s="99" t="s">
        <v>147</v>
      </c>
      <c r="B24" s="100">
        <v>9.3000000000000007</v>
      </c>
    </row>
    <row r="25" spans="1:2" x14ac:dyDescent="0.25">
      <c r="A25" s="99" t="s">
        <v>42</v>
      </c>
      <c r="B25" s="100">
        <v>8.5</v>
      </c>
    </row>
    <row r="26" spans="1:2" x14ac:dyDescent="0.25">
      <c r="A26" s="99" t="s">
        <v>256</v>
      </c>
      <c r="B26" s="100">
        <v>8.3000000000000007</v>
      </c>
    </row>
    <row r="27" spans="1:2" x14ac:dyDescent="0.25">
      <c r="A27" s="99" t="s">
        <v>139</v>
      </c>
      <c r="B27" s="100">
        <v>7.9</v>
      </c>
    </row>
    <row r="28" spans="1:2" x14ac:dyDescent="0.25">
      <c r="A28" s="99" t="s">
        <v>257</v>
      </c>
      <c r="B28" s="100">
        <v>8.4</v>
      </c>
    </row>
    <row r="29" spans="1:2" x14ac:dyDescent="0.25">
      <c r="A29" s="99" t="s">
        <v>38</v>
      </c>
      <c r="B29" s="100">
        <v>8.4</v>
      </c>
    </row>
    <row r="30" spans="1:2" x14ac:dyDescent="0.25">
      <c r="A30" s="99" t="s">
        <v>40</v>
      </c>
      <c r="B30" s="100">
        <v>8.4</v>
      </c>
    </row>
    <row r="31" spans="1:2" x14ac:dyDescent="0.25">
      <c r="A31" s="99" t="s">
        <v>137</v>
      </c>
      <c r="B31" s="100">
        <v>8</v>
      </c>
    </row>
    <row r="32" spans="1:2" x14ac:dyDescent="0.25">
      <c r="A32" s="99" t="s">
        <v>145</v>
      </c>
      <c r="B32" s="100">
        <v>9.4</v>
      </c>
    </row>
    <row r="33" spans="1:2" x14ac:dyDescent="0.25">
      <c r="A33" s="99" t="s">
        <v>37</v>
      </c>
      <c r="B33" s="100">
        <v>8</v>
      </c>
    </row>
    <row r="34" spans="1:2" x14ac:dyDescent="0.25">
      <c r="A34" s="99" t="s">
        <v>144</v>
      </c>
      <c r="B34" s="100">
        <v>8</v>
      </c>
    </row>
    <row r="35" spans="1:2" x14ac:dyDescent="0.25">
      <c r="A35" s="99" t="s">
        <v>136</v>
      </c>
      <c r="B35" s="100">
        <v>8.5</v>
      </c>
    </row>
    <row r="36" spans="1:2" x14ac:dyDescent="0.25">
      <c r="A36" s="99" t="s">
        <v>36</v>
      </c>
      <c r="B36" s="100">
        <v>8.1999999999999993</v>
      </c>
    </row>
    <row r="37" spans="1:2" x14ac:dyDescent="0.25">
      <c r="A37" s="99" t="s">
        <v>134</v>
      </c>
      <c r="B37" s="100">
        <v>8.1999999999999993</v>
      </c>
    </row>
    <row r="38" spans="1:2" x14ac:dyDescent="0.25">
      <c r="A38" s="99" t="s">
        <v>30</v>
      </c>
      <c r="B38" s="100">
        <v>9.1</v>
      </c>
    </row>
    <row r="39" spans="1:2" x14ac:dyDescent="0.25">
      <c r="A39" s="99" t="s">
        <v>35</v>
      </c>
      <c r="B39" s="100">
        <v>8.4</v>
      </c>
    </row>
    <row r="40" spans="1:2" x14ac:dyDescent="0.25">
      <c r="A40" s="99" t="s">
        <v>43</v>
      </c>
      <c r="B40" s="100">
        <v>8.1</v>
      </c>
    </row>
    <row r="41" spans="1:2" x14ac:dyDescent="0.25">
      <c r="A41" s="99" t="s">
        <v>218</v>
      </c>
      <c r="B41" s="100">
        <v>8.6999999999999993</v>
      </c>
    </row>
    <row r="42" spans="1:2" x14ac:dyDescent="0.25">
      <c r="A42" s="99" t="s">
        <v>206</v>
      </c>
      <c r="B42" s="100">
        <v>8</v>
      </c>
    </row>
    <row r="43" spans="1:2" x14ac:dyDescent="0.25">
      <c r="A43" s="99" t="s">
        <v>207</v>
      </c>
      <c r="B43" s="100">
        <v>8.4</v>
      </c>
    </row>
    <row r="44" spans="1:2" x14ac:dyDescent="0.25">
      <c r="A44" s="99" t="s">
        <v>220</v>
      </c>
      <c r="B44" s="100">
        <v>8</v>
      </c>
    </row>
    <row r="45" spans="1:2" x14ac:dyDescent="0.25">
      <c r="A45" s="99" t="s">
        <v>208</v>
      </c>
      <c r="B45" s="100">
        <v>8</v>
      </c>
    </row>
    <row r="46" spans="1:2" x14ac:dyDescent="0.25">
      <c r="A46" s="99" t="s">
        <v>209</v>
      </c>
      <c r="B46" s="100">
        <v>8.9</v>
      </c>
    </row>
    <row r="47" spans="1:2" x14ac:dyDescent="0.25">
      <c r="A47" s="99" t="s">
        <v>210</v>
      </c>
      <c r="B47" s="100">
        <v>8</v>
      </c>
    </row>
    <row r="48" spans="1:2" x14ac:dyDescent="0.25">
      <c r="A48" s="99" t="s">
        <v>211</v>
      </c>
      <c r="B48" s="100">
        <v>8.3000000000000007</v>
      </c>
    </row>
    <row r="49" spans="1:2" x14ac:dyDescent="0.25">
      <c r="A49" s="99" t="s">
        <v>212</v>
      </c>
      <c r="B49" s="100">
        <v>8.1</v>
      </c>
    </row>
    <row r="50" spans="1:2" x14ac:dyDescent="0.25">
      <c r="A50" s="99" t="s">
        <v>263</v>
      </c>
      <c r="B50" s="100">
        <v>9</v>
      </c>
    </row>
    <row r="51" spans="1:2" x14ac:dyDescent="0.25">
      <c r="A51" s="99" t="s">
        <v>262</v>
      </c>
      <c r="B51" s="100">
        <v>8.8000000000000007</v>
      </c>
    </row>
    <row r="52" spans="1:2" x14ac:dyDescent="0.25">
      <c r="A52" s="99" t="s">
        <v>150</v>
      </c>
      <c r="B52" s="100">
        <v>8</v>
      </c>
    </row>
    <row r="53" spans="1:2" x14ac:dyDescent="0.25">
      <c r="A53" s="99" t="s">
        <v>196</v>
      </c>
      <c r="B53" s="100">
        <v>7.8</v>
      </c>
    </row>
    <row r="54" spans="1:2" x14ac:dyDescent="0.25">
      <c r="A54" s="99" t="s">
        <v>151</v>
      </c>
      <c r="B54" s="100">
        <v>8.4</v>
      </c>
    </row>
    <row r="55" spans="1:2" x14ac:dyDescent="0.25">
      <c r="A55" s="99" t="s">
        <v>39</v>
      </c>
      <c r="B55" s="100">
        <v>8.1</v>
      </c>
    </row>
    <row r="56" spans="1:2" x14ac:dyDescent="0.25">
      <c r="A56" s="99" t="s">
        <v>138</v>
      </c>
      <c r="B56" s="100">
        <v>8.1999999999999993</v>
      </c>
    </row>
    <row r="57" spans="1:2" x14ac:dyDescent="0.25">
      <c r="A57" s="99" t="s">
        <v>148</v>
      </c>
      <c r="B57" s="100">
        <v>7.8</v>
      </c>
    </row>
    <row r="58" spans="1:2" x14ac:dyDescent="0.25">
      <c r="A58" s="99" t="s">
        <v>205</v>
      </c>
      <c r="B58" s="100">
        <v>7.5</v>
      </c>
    </row>
    <row r="59" spans="1:2" x14ac:dyDescent="0.25">
      <c r="A59" s="99" t="s">
        <v>32</v>
      </c>
      <c r="B59" s="100">
        <v>7.7</v>
      </c>
    </row>
    <row r="60" spans="1:2" x14ac:dyDescent="0.25">
      <c r="A60" s="99" t="s">
        <v>33</v>
      </c>
      <c r="B60" s="100">
        <v>8.6</v>
      </c>
    </row>
    <row r="61" spans="1:2" x14ac:dyDescent="0.25">
      <c r="A61" s="99" t="s">
        <v>149</v>
      </c>
      <c r="B61" s="100">
        <v>7.8</v>
      </c>
    </row>
    <row r="62" spans="1:2" x14ac:dyDescent="0.25">
      <c r="A62" s="99" t="s">
        <v>152</v>
      </c>
      <c r="B62" s="100">
        <v>8.3000000000000007</v>
      </c>
    </row>
    <row r="63" spans="1:2" x14ac:dyDescent="0.25">
      <c r="A63" s="99" t="s">
        <v>258</v>
      </c>
      <c r="B63" s="100">
        <v>8.3000000000000007</v>
      </c>
    </row>
    <row r="64" spans="1:2" x14ac:dyDescent="0.25">
      <c r="A64" s="99" t="s">
        <v>259</v>
      </c>
      <c r="B64" s="100">
        <v>8.5</v>
      </c>
    </row>
    <row r="65" spans="1:2" x14ac:dyDescent="0.25">
      <c r="A65" s="99" t="s">
        <v>260</v>
      </c>
      <c r="B65" s="100">
        <v>8.1999999999999993</v>
      </c>
    </row>
    <row r="66" spans="1:2" x14ac:dyDescent="0.25">
      <c r="A66" s="99" t="s">
        <v>261</v>
      </c>
      <c r="B66" s="100">
        <v>9.1999999999999993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533FD-5EA5-4EDC-AB5B-9D227B9FD104}">
  <dimension ref="A2:M28"/>
  <sheetViews>
    <sheetView workbookViewId="0">
      <selection activeCell="D30" sqref="D30"/>
    </sheetView>
  </sheetViews>
  <sheetFormatPr defaultRowHeight="15" x14ac:dyDescent="0.25"/>
  <cols>
    <col min="1" max="1" width="37.5703125" customWidth="1"/>
    <col min="2" max="2" width="18.7109375" customWidth="1"/>
    <col min="3" max="3" width="62.42578125" style="7" customWidth="1"/>
    <col min="4" max="8" width="26.28515625" style="7" customWidth="1"/>
    <col min="9" max="13" width="15.85546875" style="7" customWidth="1"/>
  </cols>
  <sheetData>
    <row r="2" spans="1:13" x14ac:dyDescent="0.25">
      <c r="A2" s="110" t="s">
        <v>222</v>
      </c>
      <c r="B2" s="111" t="s">
        <v>223</v>
      </c>
      <c r="D2" s="110" t="s">
        <v>224</v>
      </c>
      <c r="E2" s="111" t="s">
        <v>223</v>
      </c>
      <c r="F2"/>
      <c r="G2" s="110" t="s">
        <v>225</v>
      </c>
      <c r="H2" s="111" t="s">
        <v>223</v>
      </c>
    </row>
    <row r="3" spans="1:13" x14ac:dyDescent="0.25">
      <c r="A3" s="10" t="s">
        <v>226</v>
      </c>
      <c r="B3" s="10" t="s">
        <v>113</v>
      </c>
      <c r="D3" s="10" t="s">
        <v>227</v>
      </c>
      <c r="E3" s="112" t="s">
        <v>186</v>
      </c>
      <c r="F3"/>
      <c r="G3" s="10" t="s">
        <v>228</v>
      </c>
      <c r="H3" s="10" t="s">
        <v>229</v>
      </c>
    </row>
    <row r="4" spans="1:13" x14ac:dyDescent="0.25">
      <c r="A4" s="10" t="s">
        <v>230</v>
      </c>
      <c r="B4" s="10" t="s">
        <v>107</v>
      </c>
      <c r="D4" s="10" t="s">
        <v>231</v>
      </c>
      <c r="E4" s="112" t="s">
        <v>186</v>
      </c>
      <c r="F4"/>
      <c r="G4" s="10" t="s">
        <v>232</v>
      </c>
      <c r="H4" s="10" t="s">
        <v>233</v>
      </c>
    </row>
    <row r="5" spans="1:13" x14ac:dyDescent="0.25">
      <c r="A5" s="10" t="s">
        <v>234</v>
      </c>
      <c r="B5" s="10" t="s">
        <v>107</v>
      </c>
      <c r="D5" s="10" t="s">
        <v>235</v>
      </c>
      <c r="E5" s="112" t="s">
        <v>186</v>
      </c>
      <c r="F5"/>
      <c r="G5" s="10" t="s">
        <v>236</v>
      </c>
      <c r="H5" s="10" t="s">
        <v>237</v>
      </c>
    </row>
    <row r="6" spans="1:13" x14ac:dyDescent="0.25">
      <c r="A6" s="10" t="s">
        <v>238</v>
      </c>
      <c r="B6" s="10" t="s">
        <v>107</v>
      </c>
      <c r="D6" s="10" t="s">
        <v>239</v>
      </c>
      <c r="E6" s="112" t="s">
        <v>186</v>
      </c>
      <c r="F6"/>
      <c r="G6"/>
      <c r="H6"/>
    </row>
    <row r="7" spans="1:13" x14ac:dyDescent="0.25">
      <c r="A7" s="10" t="s">
        <v>240</v>
      </c>
      <c r="B7" s="10" t="s">
        <v>107</v>
      </c>
      <c r="D7" s="10" t="s">
        <v>241</v>
      </c>
      <c r="E7" s="112" t="s">
        <v>186</v>
      </c>
      <c r="F7"/>
      <c r="G7"/>
      <c r="H7"/>
    </row>
    <row r="8" spans="1:13" x14ac:dyDescent="0.25">
      <c r="A8" s="10" t="s">
        <v>242</v>
      </c>
      <c r="B8" s="10" t="s">
        <v>108</v>
      </c>
      <c r="D8" s="10" t="s">
        <v>243</v>
      </c>
      <c r="E8" s="113" t="s">
        <v>187</v>
      </c>
      <c r="F8"/>
      <c r="G8"/>
      <c r="H8"/>
    </row>
    <row r="9" spans="1:13" x14ac:dyDescent="0.25">
      <c r="A9" s="10" t="s">
        <v>244</v>
      </c>
      <c r="B9" s="10" t="s">
        <v>107</v>
      </c>
      <c r="D9" s="10" t="s">
        <v>245</v>
      </c>
      <c r="E9" s="112" t="s">
        <v>186</v>
      </c>
      <c r="F9"/>
      <c r="G9"/>
      <c r="H9"/>
    </row>
    <row r="10" spans="1:13" x14ac:dyDescent="0.25">
      <c r="A10" s="113" t="s">
        <v>246</v>
      </c>
      <c r="B10" s="113" t="s">
        <v>108</v>
      </c>
      <c r="C10" s="7" t="s">
        <v>247</v>
      </c>
      <c r="D10" s="10" t="s">
        <v>248</v>
      </c>
      <c r="E10" s="113" t="s">
        <v>187</v>
      </c>
      <c r="F10"/>
      <c r="G10"/>
      <c r="H10"/>
    </row>
    <row r="11" spans="1:13" x14ac:dyDescent="0.25">
      <c r="A11" s="113" t="s">
        <v>249</v>
      </c>
      <c r="B11" s="113" t="s">
        <v>110</v>
      </c>
      <c r="C11" s="7" t="s">
        <v>247</v>
      </c>
      <c r="D11"/>
      <c r="E11"/>
      <c r="F11"/>
      <c r="G11"/>
    </row>
    <row r="12" spans="1:13" x14ac:dyDescent="0.25">
      <c r="A12" s="7"/>
      <c r="B12" s="7"/>
      <c r="D12"/>
      <c r="E12"/>
      <c r="F12"/>
      <c r="G12"/>
    </row>
    <row r="13" spans="1:13" x14ac:dyDescent="0.25">
      <c r="A13" s="7"/>
      <c r="B13" s="7"/>
      <c r="D13"/>
      <c r="E13"/>
      <c r="F13"/>
      <c r="G13"/>
    </row>
    <row r="15" spans="1:13" x14ac:dyDescent="0.25">
      <c r="C15" s="121" t="s">
        <v>250</v>
      </c>
      <c r="D15" s="121"/>
      <c r="E15" s="121"/>
      <c r="F15" s="121"/>
      <c r="G15" s="121"/>
      <c r="H15" s="121"/>
      <c r="I15" s="122" t="s">
        <v>251</v>
      </c>
      <c r="J15" s="122"/>
      <c r="K15" s="122"/>
      <c r="L15" s="122"/>
      <c r="M15" s="122"/>
    </row>
    <row r="16" spans="1:13" ht="30" x14ac:dyDescent="0.25">
      <c r="A16" s="37" t="s">
        <v>24</v>
      </c>
      <c r="B16" s="37" t="s">
        <v>25</v>
      </c>
      <c r="C16" s="114" t="s">
        <v>215</v>
      </c>
      <c r="D16" s="115" t="s">
        <v>252</v>
      </c>
      <c r="E16" s="115" t="s">
        <v>214</v>
      </c>
      <c r="F16" s="114" t="s">
        <v>192</v>
      </c>
      <c r="G16" s="115" t="s">
        <v>253</v>
      </c>
      <c r="H16" s="116" t="s">
        <v>194</v>
      </c>
      <c r="I16" s="86" t="s">
        <v>113</v>
      </c>
      <c r="J16" s="86" t="s">
        <v>110</v>
      </c>
      <c r="K16" s="86" t="s">
        <v>109</v>
      </c>
      <c r="L16" s="86" t="s">
        <v>108</v>
      </c>
      <c r="M16" s="86" t="s">
        <v>107</v>
      </c>
    </row>
    <row r="17" spans="1:13" x14ac:dyDescent="0.25">
      <c r="A17" s="9" t="s">
        <v>5</v>
      </c>
      <c r="B17" s="9" t="s">
        <v>11</v>
      </c>
      <c r="C17" s="89">
        <v>1.3888888888888886E-2</v>
      </c>
      <c r="D17" s="89">
        <v>9.9999999999999985E-3</v>
      </c>
      <c r="E17" s="89">
        <v>3.8888888888888879E-3</v>
      </c>
      <c r="F17" s="89">
        <v>3.6616161616161616E-2</v>
      </c>
      <c r="G17" s="89">
        <v>3.272727272727273E-2</v>
      </c>
      <c r="H17" s="117">
        <v>2.6616161616161614E-2</v>
      </c>
      <c r="I17" s="89">
        <v>-0.4236923076923077</v>
      </c>
      <c r="J17" s="89">
        <v>-0.28246153846153849</v>
      </c>
      <c r="K17" s="89">
        <v>-0.16947692307692311</v>
      </c>
      <c r="L17" s="89">
        <v>-2.8246153846153848E-2</v>
      </c>
      <c r="M17" s="89">
        <v>0</v>
      </c>
    </row>
    <row r="18" spans="1:13" x14ac:dyDescent="0.25">
      <c r="A18" s="9" t="s">
        <v>4</v>
      </c>
      <c r="B18" s="9" t="s">
        <v>13</v>
      </c>
      <c r="C18" s="89">
        <v>2.7777777777777773E-2</v>
      </c>
      <c r="D18" s="89">
        <v>1.9999999999999997E-2</v>
      </c>
      <c r="E18" s="89">
        <v>7.7777777777777758E-3</v>
      </c>
      <c r="F18" s="89">
        <v>5.0505050505050497E-2</v>
      </c>
      <c r="G18" s="89">
        <v>4.2727272727272725E-2</v>
      </c>
      <c r="H18" s="117">
        <v>3.0505050505050504E-2</v>
      </c>
      <c r="I18" s="89">
        <v>-0.34892307692307689</v>
      </c>
      <c r="J18" s="89">
        <v>-0.23261538461538461</v>
      </c>
      <c r="K18" s="89">
        <v>-0.13956923076923078</v>
      </c>
      <c r="L18" s="89">
        <v>-2.3261538461538462E-2</v>
      </c>
      <c r="M18" s="89">
        <v>0</v>
      </c>
    </row>
    <row r="19" spans="1:13" x14ac:dyDescent="0.25">
      <c r="A19" s="9" t="s">
        <v>2</v>
      </c>
      <c r="B19" s="9" t="s">
        <v>12</v>
      </c>
      <c r="C19" s="89">
        <v>1.3888888888888886E-2</v>
      </c>
      <c r="D19" s="89">
        <v>9.9999999999999985E-3</v>
      </c>
      <c r="E19" s="89">
        <v>3.8888888888888879E-3</v>
      </c>
      <c r="F19" s="89">
        <v>3.6616161616161616E-2</v>
      </c>
      <c r="G19" s="89">
        <v>3.272727272727273E-2</v>
      </c>
      <c r="H19" s="117">
        <v>2.6616161616161614E-2</v>
      </c>
      <c r="I19" s="89">
        <v>-0.4236923076923077</v>
      </c>
      <c r="J19" s="89">
        <v>-0.28246153846153849</v>
      </c>
      <c r="K19" s="89">
        <v>-0.16947692307692311</v>
      </c>
      <c r="L19" s="89">
        <v>-2.8246153846153848E-2</v>
      </c>
      <c r="M19" s="89">
        <v>0</v>
      </c>
    </row>
    <row r="20" spans="1:13" x14ac:dyDescent="0.25">
      <c r="A20" s="9" t="s">
        <v>0</v>
      </c>
      <c r="B20" s="9" t="s">
        <v>17</v>
      </c>
      <c r="C20" s="89">
        <v>4.6296296296296287E-2</v>
      </c>
      <c r="D20" s="89">
        <v>3.3333333333333326E-2</v>
      </c>
      <c r="E20" s="89">
        <v>1.2962962962962961E-2</v>
      </c>
      <c r="F20" s="89">
        <v>6.9023569023569015E-2</v>
      </c>
      <c r="G20" s="89">
        <v>5.6060606060606054E-2</v>
      </c>
      <c r="H20" s="117">
        <v>3.5690235690235689E-2</v>
      </c>
      <c r="I20" s="89">
        <v>-0.24923076923076926</v>
      </c>
      <c r="J20" s="89">
        <v>-0.16615384615384615</v>
      </c>
      <c r="K20" s="89">
        <v>-9.9692307692307719E-2</v>
      </c>
      <c r="L20" s="89">
        <v>-1.6615384615384615E-2</v>
      </c>
      <c r="M20" s="89">
        <v>0</v>
      </c>
    </row>
    <row r="21" spans="1:13" x14ac:dyDescent="0.25">
      <c r="A21" s="9" t="s">
        <v>1</v>
      </c>
      <c r="B21" s="9" t="s">
        <v>14</v>
      </c>
      <c r="C21" s="89">
        <v>4.1666666666666657E-2</v>
      </c>
      <c r="D21" s="89">
        <v>2.9999999999999995E-2</v>
      </c>
      <c r="E21" s="89">
        <v>1.1666666666666664E-2</v>
      </c>
      <c r="F21" s="89">
        <v>6.4393939393939392E-2</v>
      </c>
      <c r="G21" s="89">
        <v>5.272727272727272E-2</v>
      </c>
      <c r="H21" s="117">
        <v>3.4393939393939393E-2</v>
      </c>
      <c r="I21" s="89">
        <v>-0.27415384615384614</v>
      </c>
      <c r="J21" s="89">
        <v>-0.18276923076923077</v>
      </c>
      <c r="K21" s="89">
        <v>-0.10966153846153848</v>
      </c>
      <c r="L21" s="89">
        <v>-1.8276923076923076E-2</v>
      </c>
      <c r="M21" s="89">
        <v>0</v>
      </c>
    </row>
    <row r="22" spans="1:13" x14ac:dyDescent="0.25">
      <c r="A22" s="9" t="s">
        <v>8</v>
      </c>
      <c r="B22" s="9" t="s">
        <v>20</v>
      </c>
      <c r="C22" s="89">
        <v>7.407407407407407E-2</v>
      </c>
      <c r="D22" s="89">
        <v>5.333333333333333E-2</v>
      </c>
      <c r="E22" s="89">
        <v>2.074074074074074E-2</v>
      </c>
      <c r="F22" s="89">
        <v>9.6801346801346805E-2</v>
      </c>
      <c r="G22" s="89">
        <v>7.6060606060606051E-2</v>
      </c>
      <c r="H22" s="117">
        <v>4.3468013468013468E-2</v>
      </c>
      <c r="I22" s="89">
        <v>-9.9692307692307691E-2</v>
      </c>
      <c r="J22" s="89">
        <v>-6.6461538461538461E-2</v>
      </c>
      <c r="K22" s="89">
        <v>-3.9876923076923088E-2</v>
      </c>
      <c r="L22" s="89">
        <v>-6.6461538461538468E-3</v>
      </c>
      <c r="M22" s="89">
        <v>0</v>
      </c>
    </row>
    <row r="23" spans="1:13" x14ac:dyDescent="0.25">
      <c r="A23" s="9" t="s">
        <v>9</v>
      </c>
      <c r="B23" s="9" t="s">
        <v>16</v>
      </c>
      <c r="C23" s="89">
        <v>5.0925925925925923E-2</v>
      </c>
      <c r="D23" s="89">
        <v>3.6666666666666667E-2</v>
      </c>
      <c r="E23" s="89">
        <v>1.4259259259259258E-2</v>
      </c>
      <c r="F23" s="118">
        <v>7.3653198653198651E-2</v>
      </c>
      <c r="G23" s="89">
        <v>5.9393939393939395E-2</v>
      </c>
      <c r="H23" s="117">
        <v>3.6986531986531984E-2</v>
      </c>
      <c r="I23" s="89">
        <v>-0.22430769230769229</v>
      </c>
      <c r="J23" s="89">
        <v>-0.14953846153846154</v>
      </c>
      <c r="K23" s="89">
        <v>-8.9723076923076933E-2</v>
      </c>
      <c r="L23" s="89">
        <v>-1.4953846153846151E-2</v>
      </c>
      <c r="M23" s="89">
        <v>0</v>
      </c>
    </row>
    <row r="24" spans="1:13" x14ac:dyDescent="0.25">
      <c r="A24" s="9" t="s">
        <v>3</v>
      </c>
      <c r="B24" s="9" t="s">
        <v>15</v>
      </c>
      <c r="C24" s="89">
        <v>4.6296296296296301E-2</v>
      </c>
      <c r="D24" s="89">
        <v>3.3333333333333333E-2</v>
      </c>
      <c r="E24" s="89">
        <v>1.2962962962962964E-2</v>
      </c>
      <c r="F24" s="89">
        <v>6.9023569023569029E-2</v>
      </c>
      <c r="G24" s="89">
        <v>5.6060606060606061E-2</v>
      </c>
      <c r="H24" s="117">
        <v>3.5690235690235689E-2</v>
      </c>
      <c r="I24" s="89">
        <v>-0.24923076923076926</v>
      </c>
      <c r="J24" s="89">
        <v>-0.16615384615384615</v>
      </c>
      <c r="K24" s="89">
        <v>-9.9692307692307719E-2</v>
      </c>
      <c r="L24" s="89">
        <v>-1.6615384615384615E-2</v>
      </c>
      <c r="M24" s="89">
        <v>0</v>
      </c>
    </row>
    <row r="25" spans="1:13" x14ac:dyDescent="0.25">
      <c r="A25" s="9" t="s">
        <v>6</v>
      </c>
      <c r="B25" s="9" t="s">
        <v>18</v>
      </c>
      <c r="C25" s="89">
        <v>5.0925925925925923E-2</v>
      </c>
      <c r="D25" s="89">
        <v>3.6666666666666667E-2</v>
      </c>
      <c r="E25" s="89">
        <v>1.4259259259259258E-2</v>
      </c>
      <c r="F25" s="89">
        <v>7.3653198653198651E-2</v>
      </c>
      <c r="G25" s="89">
        <v>5.9393939393939395E-2</v>
      </c>
      <c r="H25" s="117">
        <v>3.6986531986531984E-2</v>
      </c>
      <c r="I25" s="89">
        <v>-0.22430769230769229</v>
      </c>
      <c r="J25" s="89">
        <v>-0.14953846153846154</v>
      </c>
      <c r="K25" s="89">
        <v>-8.9723076923076933E-2</v>
      </c>
      <c r="L25" s="89">
        <v>-1.4953846153846151E-2</v>
      </c>
      <c r="M25" s="89">
        <v>0</v>
      </c>
    </row>
    <row r="26" spans="1:13" x14ac:dyDescent="0.25">
      <c r="A26" s="9" t="s">
        <v>7</v>
      </c>
      <c r="B26" s="9" t="s">
        <v>19</v>
      </c>
      <c r="C26" s="89">
        <v>7.407407407407407E-2</v>
      </c>
      <c r="D26" s="89">
        <v>5.333333333333333E-2</v>
      </c>
      <c r="E26" s="89">
        <v>2.074074074074074E-2</v>
      </c>
      <c r="F26" s="89">
        <v>9.6801346801346805E-2</v>
      </c>
      <c r="G26" s="89">
        <v>7.6060606060606051E-2</v>
      </c>
      <c r="H26" s="117">
        <v>4.3468013468013468E-2</v>
      </c>
      <c r="I26" s="89">
        <v>-9.9692307692307691E-2</v>
      </c>
      <c r="J26" s="89">
        <v>-6.6461538461538461E-2</v>
      </c>
      <c r="K26" s="89">
        <v>-3.9876923076923088E-2</v>
      </c>
      <c r="L26" s="89">
        <v>-6.6461538461538468E-3</v>
      </c>
      <c r="M26" s="89">
        <v>0</v>
      </c>
    </row>
    <row r="27" spans="1:13" x14ac:dyDescent="0.25">
      <c r="A27" s="9" t="s">
        <v>29</v>
      </c>
      <c r="B27" s="9" t="s">
        <v>21</v>
      </c>
      <c r="C27" s="89">
        <v>3.2407407407407406E-2</v>
      </c>
      <c r="D27" s="89">
        <v>2.3333333333333334E-2</v>
      </c>
      <c r="E27" s="89">
        <v>9.0740740740740747E-3</v>
      </c>
      <c r="F27" s="89">
        <v>5.5134680134680134E-2</v>
      </c>
      <c r="G27" s="89">
        <v>4.6060606060606066E-2</v>
      </c>
      <c r="H27" s="117">
        <v>3.1801346801346803E-2</v>
      </c>
      <c r="I27" s="89">
        <v>-0.32400000000000001</v>
      </c>
      <c r="J27" s="89">
        <v>-0.216</v>
      </c>
      <c r="K27" s="89">
        <v>-0.12960000000000002</v>
      </c>
      <c r="L27" s="89">
        <v>-2.1600000000000001E-2</v>
      </c>
      <c r="M27" s="89">
        <v>0</v>
      </c>
    </row>
    <row r="28" spans="1:13" x14ac:dyDescent="0.25">
      <c r="A28" s="9" t="s">
        <v>10</v>
      </c>
      <c r="B28" s="9" t="s">
        <v>22</v>
      </c>
      <c r="C28" s="89">
        <v>8.3333333333333329E-2</v>
      </c>
      <c r="D28" s="89">
        <v>0.06</v>
      </c>
      <c r="E28" s="89">
        <v>2.3333333333333331E-2</v>
      </c>
      <c r="F28" s="89">
        <v>0.10606060606060605</v>
      </c>
      <c r="G28" s="89">
        <v>8.2727272727272733E-2</v>
      </c>
      <c r="H28" s="117">
        <v>4.6060606060606059E-2</v>
      </c>
      <c r="I28" s="89">
        <v>-4.9846153846153846E-2</v>
      </c>
      <c r="J28" s="89">
        <v>-3.323076923076923E-2</v>
      </c>
      <c r="K28" s="89">
        <v>-1.9938461538461544E-2</v>
      </c>
      <c r="L28" s="89">
        <v>-3.3230769230769234E-3</v>
      </c>
      <c r="M28" s="89">
        <v>0</v>
      </c>
    </row>
  </sheetData>
  <mergeCells count="2">
    <mergeCell ref="C15:H15"/>
    <mergeCell ref="I15:M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BC89-45C6-4813-A582-424981B758E8}">
  <sheetPr>
    <tabColor rgb="FFFFC000"/>
  </sheetPr>
  <dimension ref="A1:BN59"/>
  <sheetViews>
    <sheetView zoomScale="80" zoomScaleNormal="80" workbookViewId="0">
      <pane xSplit="2" topLeftCell="AL1" activePane="topRight" state="frozen"/>
      <selection activeCell="G3" sqref="G3"/>
      <selection pane="topRight" activeCell="G3" sqref="G3"/>
    </sheetView>
  </sheetViews>
  <sheetFormatPr defaultRowHeight="15" x14ac:dyDescent="0.25"/>
  <cols>
    <col min="1" max="1" width="38" customWidth="1"/>
    <col min="2" max="2" width="29.140625" customWidth="1"/>
    <col min="3" max="3" width="20.140625" customWidth="1"/>
    <col min="6" max="6" width="16.42578125" customWidth="1"/>
    <col min="7" max="7" width="15" customWidth="1"/>
    <col min="15" max="15" width="9.140625" customWidth="1"/>
    <col min="16" max="16" width="30.42578125" customWidth="1"/>
    <col min="17" max="17" width="15.7109375" customWidth="1"/>
    <col min="18" max="35" width="19.140625" style="7" customWidth="1"/>
    <col min="39" max="39" width="33.28515625" customWidth="1"/>
    <col min="40" max="40" width="19.5703125" style="7" customWidth="1"/>
    <col min="41" max="41" width="17.28515625" style="7" customWidth="1"/>
    <col min="42" max="42" width="15.85546875" style="7" customWidth="1"/>
    <col min="43" max="45" width="9.140625" style="7"/>
  </cols>
  <sheetData>
    <row r="1" spans="1:66" x14ac:dyDescent="0.25">
      <c r="AQ1" s="7">
        <v>0.15</v>
      </c>
    </row>
    <row r="2" spans="1:66" x14ac:dyDescent="0.25">
      <c r="A2" t="s">
        <v>57</v>
      </c>
      <c r="B2" t="s">
        <v>56</v>
      </c>
      <c r="AN2" s="7">
        <v>55</v>
      </c>
      <c r="AO2" s="7" t="s">
        <v>102</v>
      </c>
      <c r="AP2" s="7" t="s">
        <v>101</v>
      </c>
      <c r="AQ2" s="7" t="s">
        <v>117</v>
      </c>
      <c r="AR2" s="7" t="s">
        <v>118</v>
      </c>
      <c r="AU2" s="28" t="s">
        <v>115</v>
      </c>
      <c r="BG2" t="s">
        <v>120</v>
      </c>
    </row>
    <row r="3" spans="1:66" ht="15.75" thickBot="1" x14ac:dyDescent="0.3">
      <c r="A3" t="s">
        <v>58</v>
      </c>
      <c r="B3" t="s">
        <v>63</v>
      </c>
      <c r="AO3" s="7" t="s">
        <v>103</v>
      </c>
      <c r="AP3" s="7" t="s">
        <v>100</v>
      </c>
      <c r="AQ3" s="7" t="s">
        <v>100</v>
      </c>
      <c r="AR3" s="7" t="s">
        <v>100</v>
      </c>
      <c r="BG3" t="s">
        <v>121</v>
      </c>
    </row>
    <row r="4" spans="1:66" ht="15.75" thickBot="1" x14ac:dyDescent="0.3">
      <c r="A4" t="s">
        <v>59</v>
      </c>
      <c r="B4" t="s">
        <v>34</v>
      </c>
      <c r="AM4" s="25" t="s">
        <v>25</v>
      </c>
      <c r="AN4" s="25" t="s">
        <v>69</v>
      </c>
      <c r="AO4" s="7">
        <v>100</v>
      </c>
      <c r="AP4" s="7">
        <v>220</v>
      </c>
      <c r="AQ4" s="7">
        <f>AP4*1.15</f>
        <v>252.99999999999997</v>
      </c>
      <c r="AT4">
        <v>350</v>
      </c>
      <c r="AU4">
        <f>AT4-50</f>
        <v>300</v>
      </c>
      <c r="AV4">
        <f>AU4-50</f>
        <v>250</v>
      </c>
      <c r="AW4">
        <f>AV4-50</f>
        <v>200</v>
      </c>
      <c r="AX4">
        <f>AW4-50</f>
        <v>150</v>
      </c>
      <c r="AY4">
        <f>AX4-50</f>
        <v>100</v>
      </c>
    </row>
    <row r="5" spans="1:66" x14ac:dyDescent="0.25">
      <c r="A5" t="s">
        <v>60</v>
      </c>
      <c r="AM5" s="24" t="s">
        <v>17</v>
      </c>
      <c r="AN5" s="24">
        <v>50</v>
      </c>
      <c r="AP5" s="7">
        <f>$AO$4*2.2</f>
        <v>220.00000000000003</v>
      </c>
      <c r="AQ5" s="27">
        <f>(AN5/$AN$2)*$AQ$1</f>
        <v>0.13636363636363635</v>
      </c>
      <c r="AR5" s="7">
        <f>AP5*(1+AQ5)</f>
        <v>250</v>
      </c>
      <c r="AT5" s="11">
        <f>IF(AT$4&gt;$AR5,1,AT$4/$AR5)</f>
        <v>1</v>
      </c>
      <c r="AU5" s="11">
        <f t="shared" ref="AU5:AY16" si="0">IF(AU$4&gt;$AR5,1,AU$4/$AR5)</f>
        <v>1</v>
      </c>
      <c r="AV5" s="11">
        <f t="shared" si="0"/>
        <v>1</v>
      </c>
      <c r="AW5" s="11">
        <f t="shared" si="0"/>
        <v>0.8</v>
      </c>
      <c r="AX5" s="11">
        <f t="shared" si="0"/>
        <v>0.6</v>
      </c>
      <c r="AY5" s="11">
        <f t="shared" si="0"/>
        <v>0.4</v>
      </c>
      <c r="AZ5" s="30">
        <f t="shared" ref="AZ5:BE5" si="1">-120*AT5+120</f>
        <v>0</v>
      </c>
      <c r="BA5" s="30">
        <f t="shared" si="1"/>
        <v>0</v>
      </c>
      <c r="BB5" s="30">
        <f t="shared" si="1"/>
        <v>0</v>
      </c>
      <c r="BC5" s="30">
        <f t="shared" si="1"/>
        <v>24</v>
      </c>
      <c r="BD5" s="30">
        <f t="shared" si="1"/>
        <v>48</v>
      </c>
      <c r="BE5" s="30">
        <f t="shared" si="1"/>
        <v>72</v>
      </c>
      <c r="BG5" s="11">
        <f t="shared" ref="BG5:BL5" si="2">0.42*AT5-0.42</f>
        <v>0</v>
      </c>
      <c r="BH5" s="11">
        <f t="shared" si="2"/>
        <v>0</v>
      </c>
      <c r="BI5" s="11">
        <f t="shared" si="2"/>
        <v>0</v>
      </c>
      <c r="BJ5" s="11">
        <f t="shared" si="2"/>
        <v>-8.3999999999999964E-2</v>
      </c>
      <c r="BK5" s="11">
        <f t="shared" si="2"/>
        <v>-0.16799999999999998</v>
      </c>
      <c r="BL5" s="11">
        <f t="shared" si="2"/>
        <v>-0.252</v>
      </c>
      <c r="BN5">
        <f>7-(7*BL5*-1)</f>
        <v>5.2359999999999998</v>
      </c>
    </row>
    <row r="6" spans="1:66" x14ac:dyDescent="0.25">
      <c r="A6" t="s">
        <v>61</v>
      </c>
      <c r="AM6" s="21" t="s">
        <v>14</v>
      </c>
      <c r="AN6" s="21">
        <v>55</v>
      </c>
      <c r="AP6" s="7">
        <f t="shared" ref="AP6:AP16" si="3">$AO$4*2.2</f>
        <v>220.00000000000003</v>
      </c>
      <c r="AQ6" s="27">
        <f t="shared" ref="AQ6:AQ16" si="4">(AN6/$AN$2)*$AQ$1</f>
        <v>0.15</v>
      </c>
      <c r="AR6" s="7">
        <f t="shared" ref="AR6:AR16" si="5">AP6*(1+AQ6)</f>
        <v>253</v>
      </c>
      <c r="AT6" s="11">
        <f t="shared" ref="AT6:AT16" si="6">IF(AT$4&gt;$AR6,1,AT$4/$AR6)</f>
        <v>1</v>
      </c>
      <c r="AU6" s="11">
        <f t="shared" si="0"/>
        <v>1</v>
      </c>
      <c r="AV6" s="11">
        <f t="shared" si="0"/>
        <v>0.98814229249011853</v>
      </c>
      <c r="AW6" s="11">
        <f t="shared" si="0"/>
        <v>0.79051383399209485</v>
      </c>
      <c r="AX6" s="11">
        <f t="shared" si="0"/>
        <v>0.59288537549407117</v>
      </c>
      <c r="AY6" s="11">
        <f t="shared" si="0"/>
        <v>0.39525691699604742</v>
      </c>
      <c r="AZ6" s="30">
        <f t="shared" ref="AZ6:AZ16" si="7">-120*AT6+120</f>
        <v>0</v>
      </c>
      <c r="BA6" s="30">
        <f t="shared" ref="BA6:BA16" si="8">-120*AU6+120</f>
        <v>0</v>
      </c>
      <c r="BB6" s="30">
        <f t="shared" ref="BB6:BB16" si="9">-120*AV6+120</f>
        <v>1.4229249011857803</v>
      </c>
      <c r="BC6" s="30">
        <f t="shared" ref="BC6:BC16" si="10">-120*AW6+120</f>
        <v>25.138339920948624</v>
      </c>
      <c r="BD6" s="30">
        <f t="shared" ref="BD6:BD16" si="11">-120*AX6+120</f>
        <v>48.853754940711454</v>
      </c>
      <c r="BE6" s="30">
        <f t="shared" ref="BE6:BE16" si="12">-120*AY6+120</f>
        <v>72.569169960474312</v>
      </c>
      <c r="BG6" s="11">
        <f t="shared" ref="BG6:BG16" si="13">0.42*AT6-0.42</f>
        <v>0</v>
      </c>
      <c r="BH6" s="11">
        <f t="shared" ref="BH6:BH16" si="14">0.42*AU6-0.42</f>
        <v>0</v>
      </c>
      <c r="BI6" s="11">
        <f t="shared" ref="BI6:BI16" si="15">0.42*AV6-0.42</f>
        <v>-4.9802371541501911E-3</v>
      </c>
      <c r="BJ6" s="11">
        <f t="shared" ref="BJ6:BJ16" si="16">0.42*AW6-0.42</f>
        <v>-8.7984189723320172E-2</v>
      </c>
      <c r="BK6" s="11">
        <f t="shared" ref="BK6:BK16" si="17">0.42*AX6-0.42</f>
        <v>-0.1709881422924901</v>
      </c>
      <c r="BL6" s="11">
        <f t="shared" ref="BL6:BL16" si="18">0.42*AY6-0.42</f>
        <v>-0.25399209486166008</v>
      </c>
      <c r="BN6">
        <f t="shared" ref="BN6:BN16" si="19">9-(9*BL6*-1)</f>
        <v>6.7140711462450593</v>
      </c>
    </row>
    <row r="7" spans="1:66" x14ac:dyDescent="0.25">
      <c r="A7" t="s">
        <v>62</v>
      </c>
      <c r="AM7" s="21" t="s">
        <v>12</v>
      </c>
      <c r="AN7" s="21">
        <v>85</v>
      </c>
      <c r="AP7" s="7">
        <f t="shared" si="3"/>
        <v>220.00000000000003</v>
      </c>
      <c r="AQ7" s="27">
        <f t="shared" si="4"/>
        <v>0.23181818181818181</v>
      </c>
      <c r="AR7" s="7">
        <f t="shared" si="5"/>
        <v>271.00000000000006</v>
      </c>
      <c r="AT7" s="11">
        <f t="shared" si="6"/>
        <v>1</v>
      </c>
      <c r="AU7" s="11">
        <f t="shared" si="0"/>
        <v>1</v>
      </c>
      <c r="AV7" s="11">
        <f t="shared" si="0"/>
        <v>0.92250922509225075</v>
      </c>
      <c r="AW7" s="11">
        <f t="shared" si="0"/>
        <v>0.73800738007380062</v>
      </c>
      <c r="AX7" s="11">
        <f t="shared" si="0"/>
        <v>0.55350553505535038</v>
      </c>
      <c r="AY7" s="11">
        <f t="shared" si="0"/>
        <v>0.36900369003690031</v>
      </c>
      <c r="AZ7" s="30">
        <f t="shared" si="7"/>
        <v>0</v>
      </c>
      <c r="BA7" s="30">
        <f t="shared" si="8"/>
        <v>0</v>
      </c>
      <c r="BB7" s="30">
        <f t="shared" si="9"/>
        <v>9.2988929889299072</v>
      </c>
      <c r="BC7" s="30">
        <f t="shared" si="10"/>
        <v>31.439114391143931</v>
      </c>
      <c r="BD7" s="30">
        <f t="shared" si="11"/>
        <v>53.579335793357956</v>
      </c>
      <c r="BE7" s="30">
        <f t="shared" si="12"/>
        <v>75.719557195571966</v>
      </c>
      <c r="BG7" s="11">
        <f t="shared" si="13"/>
        <v>0</v>
      </c>
      <c r="BH7" s="11">
        <f t="shared" si="14"/>
        <v>0</v>
      </c>
      <c r="BI7" s="11">
        <f t="shared" si="15"/>
        <v>-3.2546125461254682E-2</v>
      </c>
      <c r="BJ7" s="11">
        <f t="shared" si="16"/>
        <v>-0.11003690036900371</v>
      </c>
      <c r="BK7" s="11">
        <f t="shared" si="17"/>
        <v>-0.18752767527675282</v>
      </c>
      <c r="BL7" s="11">
        <f t="shared" si="18"/>
        <v>-0.26501845018450187</v>
      </c>
      <c r="BN7">
        <f t="shared" si="19"/>
        <v>6.6148339483394833</v>
      </c>
    </row>
    <row r="8" spans="1:66" x14ac:dyDescent="0.25">
      <c r="A8" t="s">
        <v>67</v>
      </c>
      <c r="AM8" s="21" t="s">
        <v>15</v>
      </c>
      <c r="AN8" s="21">
        <v>50</v>
      </c>
      <c r="AP8" s="7">
        <f t="shared" si="3"/>
        <v>220.00000000000003</v>
      </c>
      <c r="AQ8" s="27">
        <f t="shared" si="4"/>
        <v>0.13636363636363635</v>
      </c>
      <c r="AR8" s="7">
        <f t="shared" si="5"/>
        <v>250</v>
      </c>
      <c r="AT8" s="11">
        <f t="shared" si="6"/>
        <v>1</v>
      </c>
      <c r="AU8" s="11">
        <f t="shared" si="0"/>
        <v>1</v>
      </c>
      <c r="AV8" s="11">
        <f t="shared" si="0"/>
        <v>1</v>
      </c>
      <c r="AW8" s="11">
        <f t="shared" si="0"/>
        <v>0.8</v>
      </c>
      <c r="AX8" s="11">
        <f t="shared" si="0"/>
        <v>0.6</v>
      </c>
      <c r="AY8" s="11">
        <f t="shared" si="0"/>
        <v>0.4</v>
      </c>
      <c r="AZ8" s="30">
        <f t="shared" si="7"/>
        <v>0</v>
      </c>
      <c r="BA8" s="30">
        <f t="shared" si="8"/>
        <v>0</v>
      </c>
      <c r="BB8" s="30">
        <f t="shared" si="9"/>
        <v>0</v>
      </c>
      <c r="BC8" s="30">
        <f t="shared" si="10"/>
        <v>24</v>
      </c>
      <c r="BD8" s="30">
        <f t="shared" si="11"/>
        <v>48</v>
      </c>
      <c r="BE8" s="30">
        <f t="shared" si="12"/>
        <v>72</v>
      </c>
      <c r="BG8" s="11">
        <f t="shared" si="13"/>
        <v>0</v>
      </c>
      <c r="BH8" s="11">
        <f t="shared" si="14"/>
        <v>0</v>
      </c>
      <c r="BI8" s="11">
        <f t="shared" si="15"/>
        <v>0</v>
      </c>
      <c r="BJ8" s="11">
        <f t="shared" si="16"/>
        <v>-8.3999999999999964E-2</v>
      </c>
      <c r="BK8" s="11">
        <f t="shared" si="17"/>
        <v>-0.16799999999999998</v>
      </c>
      <c r="BL8" s="11">
        <f t="shared" si="18"/>
        <v>-0.252</v>
      </c>
      <c r="BN8">
        <f t="shared" si="19"/>
        <v>6.7320000000000002</v>
      </c>
    </row>
    <row r="9" spans="1:66" x14ac:dyDescent="0.25">
      <c r="A9" s="5" t="s">
        <v>59</v>
      </c>
      <c r="AM9" s="21" t="s">
        <v>13</v>
      </c>
      <c r="AN9" s="21">
        <v>70</v>
      </c>
      <c r="AP9" s="7">
        <f t="shared" si="3"/>
        <v>220.00000000000003</v>
      </c>
      <c r="AQ9" s="27">
        <f t="shared" si="4"/>
        <v>0.19090909090909089</v>
      </c>
      <c r="AR9" s="7">
        <f t="shared" si="5"/>
        <v>262.00000000000006</v>
      </c>
      <c r="AT9" s="11">
        <f t="shared" si="6"/>
        <v>1</v>
      </c>
      <c r="AU9" s="11">
        <f t="shared" si="0"/>
        <v>1</v>
      </c>
      <c r="AV9" s="11">
        <f t="shared" si="0"/>
        <v>0.95419847328244256</v>
      </c>
      <c r="AW9" s="11">
        <f t="shared" si="0"/>
        <v>0.76335877862595403</v>
      </c>
      <c r="AX9" s="11">
        <f t="shared" si="0"/>
        <v>0.57251908396946549</v>
      </c>
      <c r="AY9" s="11">
        <f t="shared" si="0"/>
        <v>0.38167938931297701</v>
      </c>
      <c r="AZ9" s="30">
        <f t="shared" si="7"/>
        <v>0</v>
      </c>
      <c r="BA9" s="30">
        <f t="shared" si="8"/>
        <v>0</v>
      </c>
      <c r="BB9" s="30">
        <f t="shared" si="9"/>
        <v>5.4961832061068918</v>
      </c>
      <c r="BC9" s="30">
        <f t="shared" si="10"/>
        <v>28.396946564885511</v>
      </c>
      <c r="BD9" s="30">
        <f t="shared" si="11"/>
        <v>51.297709923664144</v>
      </c>
      <c r="BE9" s="30">
        <f t="shared" si="12"/>
        <v>74.198473282442762</v>
      </c>
      <c r="BG9" s="11">
        <f t="shared" si="13"/>
        <v>0</v>
      </c>
      <c r="BH9" s="11">
        <f t="shared" si="14"/>
        <v>0</v>
      </c>
      <c r="BI9" s="11">
        <f t="shared" si="15"/>
        <v>-1.923664122137414E-2</v>
      </c>
      <c r="BJ9" s="11">
        <f t="shared" si="16"/>
        <v>-9.9389312977099298E-2</v>
      </c>
      <c r="BK9" s="11">
        <f t="shared" si="17"/>
        <v>-0.17954198473282448</v>
      </c>
      <c r="BL9" s="11">
        <f t="shared" si="18"/>
        <v>-0.25969465648854961</v>
      </c>
      <c r="BN9">
        <f t="shared" si="19"/>
        <v>6.6627480916030537</v>
      </c>
    </row>
    <row r="10" spans="1:66" x14ac:dyDescent="0.25">
      <c r="A10" s="5" t="s">
        <v>64</v>
      </c>
      <c r="AM10" s="22" t="s">
        <v>11</v>
      </c>
      <c r="AN10" s="21">
        <v>85</v>
      </c>
      <c r="AP10" s="7">
        <f t="shared" si="3"/>
        <v>220.00000000000003</v>
      </c>
      <c r="AQ10" s="27">
        <f t="shared" si="4"/>
        <v>0.23181818181818181</v>
      </c>
      <c r="AR10" s="7">
        <f t="shared" si="5"/>
        <v>271.00000000000006</v>
      </c>
      <c r="AT10" s="11">
        <f t="shared" si="6"/>
        <v>1</v>
      </c>
      <c r="AU10" s="11">
        <f t="shared" si="0"/>
        <v>1</v>
      </c>
      <c r="AV10" s="11">
        <f t="shared" si="0"/>
        <v>0.92250922509225075</v>
      </c>
      <c r="AW10" s="11">
        <f t="shared" si="0"/>
        <v>0.73800738007380062</v>
      </c>
      <c r="AX10" s="11">
        <f t="shared" si="0"/>
        <v>0.55350553505535038</v>
      </c>
      <c r="AY10" s="11">
        <f t="shared" si="0"/>
        <v>0.36900369003690031</v>
      </c>
      <c r="AZ10" s="30">
        <f t="shared" si="7"/>
        <v>0</v>
      </c>
      <c r="BA10" s="30">
        <f t="shared" si="8"/>
        <v>0</v>
      </c>
      <c r="BB10" s="30">
        <f t="shared" si="9"/>
        <v>9.2988929889299072</v>
      </c>
      <c r="BC10" s="30">
        <f t="shared" si="10"/>
        <v>31.439114391143931</v>
      </c>
      <c r="BD10" s="30">
        <f t="shared" si="11"/>
        <v>53.579335793357956</v>
      </c>
      <c r="BE10" s="30">
        <f t="shared" si="12"/>
        <v>75.719557195571966</v>
      </c>
      <c r="BG10" s="11">
        <f t="shared" si="13"/>
        <v>0</v>
      </c>
      <c r="BH10" s="11">
        <f t="shared" si="14"/>
        <v>0</v>
      </c>
      <c r="BI10" s="11">
        <f t="shared" si="15"/>
        <v>-3.2546125461254682E-2</v>
      </c>
      <c r="BJ10" s="11">
        <f t="shared" si="16"/>
        <v>-0.11003690036900371</v>
      </c>
      <c r="BK10" s="11">
        <f t="shared" si="17"/>
        <v>-0.18752767527675282</v>
      </c>
      <c r="BL10" s="11">
        <f t="shared" si="18"/>
        <v>-0.26501845018450187</v>
      </c>
      <c r="BN10">
        <f t="shared" si="19"/>
        <v>6.6148339483394833</v>
      </c>
    </row>
    <row r="11" spans="1:66" x14ac:dyDescent="0.25">
      <c r="A11" s="5" t="s">
        <v>65</v>
      </c>
      <c r="AM11" s="22" t="s">
        <v>18</v>
      </c>
      <c r="AN11" s="21">
        <v>45</v>
      </c>
      <c r="AP11" s="7">
        <f t="shared" si="3"/>
        <v>220.00000000000003</v>
      </c>
      <c r="AQ11" s="27">
        <f t="shared" si="4"/>
        <v>0.12272727272727273</v>
      </c>
      <c r="AR11" s="7">
        <f t="shared" si="5"/>
        <v>247.00000000000006</v>
      </c>
      <c r="AT11" s="11">
        <f t="shared" si="6"/>
        <v>1</v>
      </c>
      <c r="AU11" s="11">
        <f t="shared" si="0"/>
        <v>1</v>
      </c>
      <c r="AV11" s="11">
        <f t="shared" si="0"/>
        <v>1</v>
      </c>
      <c r="AW11" s="11">
        <f t="shared" si="0"/>
        <v>0.80971659919028316</v>
      </c>
      <c r="AX11" s="11">
        <f t="shared" si="0"/>
        <v>0.6072874493927124</v>
      </c>
      <c r="AY11" s="11">
        <f t="shared" si="0"/>
        <v>0.40485829959514158</v>
      </c>
      <c r="AZ11" s="30">
        <f t="shared" si="7"/>
        <v>0</v>
      </c>
      <c r="BA11" s="30">
        <f t="shared" si="8"/>
        <v>0</v>
      </c>
      <c r="BB11" s="30">
        <f t="shared" si="9"/>
        <v>0</v>
      </c>
      <c r="BC11" s="30">
        <f t="shared" si="10"/>
        <v>22.83400809716602</v>
      </c>
      <c r="BD11" s="30">
        <f t="shared" si="11"/>
        <v>47.125506072874515</v>
      </c>
      <c r="BE11" s="30">
        <f t="shared" si="12"/>
        <v>71.41700404858301</v>
      </c>
      <c r="BG11" s="11">
        <f t="shared" si="13"/>
        <v>0</v>
      </c>
      <c r="BH11" s="11">
        <f t="shared" si="14"/>
        <v>0</v>
      </c>
      <c r="BI11" s="11">
        <f t="shared" si="15"/>
        <v>0</v>
      </c>
      <c r="BJ11" s="11">
        <f t="shared" si="16"/>
        <v>-7.9919028340081077E-2</v>
      </c>
      <c r="BK11" s="11">
        <f t="shared" si="17"/>
        <v>-0.1649392712550608</v>
      </c>
      <c r="BL11" s="11">
        <f t="shared" si="18"/>
        <v>-0.24995951417004053</v>
      </c>
      <c r="BN11">
        <f t="shared" si="19"/>
        <v>6.7503643724696349</v>
      </c>
    </row>
    <row r="12" spans="1:66" x14ac:dyDescent="0.25">
      <c r="A12" s="5" t="s">
        <v>66</v>
      </c>
      <c r="AM12" s="21" t="s">
        <v>19</v>
      </c>
      <c r="AN12" s="21">
        <v>20</v>
      </c>
      <c r="AP12" s="7">
        <f t="shared" si="3"/>
        <v>220.00000000000003</v>
      </c>
      <c r="AQ12" s="27">
        <f t="shared" si="4"/>
        <v>5.4545454545454543E-2</v>
      </c>
      <c r="AR12" s="7">
        <f t="shared" si="5"/>
        <v>232</v>
      </c>
      <c r="AT12" s="11">
        <f t="shared" si="6"/>
        <v>1</v>
      </c>
      <c r="AU12" s="11">
        <f t="shared" si="0"/>
        <v>1</v>
      </c>
      <c r="AV12" s="11">
        <f t="shared" si="0"/>
        <v>1</v>
      </c>
      <c r="AW12" s="11">
        <f t="shared" si="0"/>
        <v>0.86206896551724133</v>
      </c>
      <c r="AX12" s="11">
        <f t="shared" si="0"/>
        <v>0.64655172413793105</v>
      </c>
      <c r="AY12" s="11">
        <f t="shared" si="0"/>
        <v>0.43103448275862066</v>
      </c>
      <c r="AZ12" s="30">
        <f t="shared" si="7"/>
        <v>0</v>
      </c>
      <c r="BA12" s="30">
        <f t="shared" si="8"/>
        <v>0</v>
      </c>
      <c r="BB12" s="30">
        <f t="shared" si="9"/>
        <v>0</v>
      </c>
      <c r="BC12" s="30">
        <f t="shared" si="10"/>
        <v>16.551724137931046</v>
      </c>
      <c r="BD12" s="30">
        <f t="shared" si="11"/>
        <v>42.41379310344827</v>
      </c>
      <c r="BE12" s="30">
        <f t="shared" si="12"/>
        <v>68.275862068965523</v>
      </c>
      <c r="BG12" s="11">
        <f t="shared" si="13"/>
        <v>0</v>
      </c>
      <c r="BH12" s="11">
        <f t="shared" si="14"/>
        <v>0</v>
      </c>
      <c r="BI12" s="11">
        <f t="shared" si="15"/>
        <v>0</v>
      </c>
      <c r="BJ12" s="11">
        <f t="shared" si="16"/>
        <v>-5.7931034482758659E-2</v>
      </c>
      <c r="BK12" s="11">
        <f t="shared" si="17"/>
        <v>-0.14844827586206893</v>
      </c>
      <c r="BL12" s="11">
        <f t="shared" si="18"/>
        <v>-0.23896551724137932</v>
      </c>
      <c r="BN12">
        <f t="shared" si="19"/>
        <v>6.8493103448275861</v>
      </c>
    </row>
    <row r="13" spans="1:66" x14ac:dyDescent="0.25">
      <c r="A13" s="5"/>
      <c r="AM13" s="21" t="s">
        <v>20</v>
      </c>
      <c r="AN13" s="21">
        <v>20</v>
      </c>
      <c r="AP13" s="7">
        <f t="shared" si="3"/>
        <v>220.00000000000003</v>
      </c>
      <c r="AQ13" s="27">
        <f t="shared" si="4"/>
        <v>5.4545454545454543E-2</v>
      </c>
      <c r="AR13" s="7">
        <f t="shared" si="5"/>
        <v>232</v>
      </c>
      <c r="AT13" s="11">
        <f t="shared" si="6"/>
        <v>1</v>
      </c>
      <c r="AU13" s="11">
        <f t="shared" si="0"/>
        <v>1</v>
      </c>
      <c r="AV13" s="11">
        <f t="shared" si="0"/>
        <v>1</v>
      </c>
      <c r="AW13" s="11">
        <f t="shared" si="0"/>
        <v>0.86206896551724133</v>
      </c>
      <c r="AX13" s="11">
        <f t="shared" si="0"/>
        <v>0.64655172413793105</v>
      </c>
      <c r="AY13" s="11">
        <f t="shared" si="0"/>
        <v>0.43103448275862066</v>
      </c>
      <c r="AZ13" s="30">
        <f t="shared" si="7"/>
        <v>0</v>
      </c>
      <c r="BA13" s="30">
        <f t="shared" si="8"/>
        <v>0</v>
      </c>
      <c r="BB13" s="30">
        <f t="shared" si="9"/>
        <v>0</v>
      </c>
      <c r="BC13" s="30">
        <f t="shared" si="10"/>
        <v>16.551724137931046</v>
      </c>
      <c r="BD13" s="30">
        <f t="shared" si="11"/>
        <v>42.41379310344827</v>
      </c>
      <c r="BE13" s="30">
        <f t="shared" si="12"/>
        <v>68.275862068965523</v>
      </c>
      <c r="BG13" s="11">
        <f t="shared" si="13"/>
        <v>0</v>
      </c>
      <c r="BH13" s="11">
        <f t="shared" si="14"/>
        <v>0</v>
      </c>
      <c r="BI13" s="11">
        <f t="shared" si="15"/>
        <v>0</v>
      </c>
      <c r="BJ13" s="11">
        <f t="shared" si="16"/>
        <v>-5.7931034482758659E-2</v>
      </c>
      <c r="BK13" s="11">
        <f t="shared" si="17"/>
        <v>-0.14844827586206893</v>
      </c>
      <c r="BL13" s="11">
        <f t="shared" si="18"/>
        <v>-0.23896551724137932</v>
      </c>
      <c r="BN13">
        <f t="shared" si="19"/>
        <v>6.8493103448275861</v>
      </c>
    </row>
    <row r="14" spans="1:66" x14ac:dyDescent="0.25">
      <c r="A14" s="5"/>
      <c r="AM14" s="21" t="s">
        <v>21</v>
      </c>
      <c r="AN14" s="21">
        <v>65</v>
      </c>
      <c r="AP14" s="7">
        <f t="shared" si="3"/>
        <v>220.00000000000003</v>
      </c>
      <c r="AQ14" s="27">
        <f t="shared" si="4"/>
        <v>0.17727272727272728</v>
      </c>
      <c r="AR14" s="7">
        <f t="shared" si="5"/>
        <v>259</v>
      </c>
      <c r="AT14" s="11">
        <f t="shared" si="6"/>
        <v>1</v>
      </c>
      <c r="AU14" s="11">
        <f t="shared" si="0"/>
        <v>1</v>
      </c>
      <c r="AV14" s="11">
        <f t="shared" si="0"/>
        <v>0.96525096525096521</v>
      </c>
      <c r="AW14" s="11">
        <f t="shared" si="0"/>
        <v>0.77220077220077221</v>
      </c>
      <c r="AX14" s="11">
        <f t="shared" si="0"/>
        <v>0.5791505791505791</v>
      </c>
      <c r="AY14" s="11">
        <f t="shared" si="0"/>
        <v>0.38610038610038611</v>
      </c>
      <c r="AZ14" s="30">
        <f t="shared" si="7"/>
        <v>0</v>
      </c>
      <c r="BA14" s="30">
        <f t="shared" si="8"/>
        <v>0</v>
      </c>
      <c r="BB14" s="30">
        <f t="shared" si="9"/>
        <v>4.1698841698841704</v>
      </c>
      <c r="BC14" s="30">
        <f t="shared" si="10"/>
        <v>27.335907335907336</v>
      </c>
      <c r="BD14" s="30">
        <f t="shared" si="11"/>
        <v>50.501930501930502</v>
      </c>
      <c r="BE14" s="30">
        <f t="shared" si="12"/>
        <v>73.667953667953668</v>
      </c>
      <c r="BG14" s="11">
        <f t="shared" si="13"/>
        <v>0</v>
      </c>
      <c r="BH14" s="11">
        <f t="shared" si="14"/>
        <v>0</v>
      </c>
      <c r="BI14" s="11">
        <f t="shared" si="15"/>
        <v>-1.4594594594594612E-2</v>
      </c>
      <c r="BJ14" s="11">
        <f t="shared" si="16"/>
        <v>-9.5675675675675642E-2</v>
      </c>
      <c r="BK14" s="11">
        <f t="shared" si="17"/>
        <v>-0.17675675675675678</v>
      </c>
      <c r="BL14" s="11">
        <f t="shared" si="18"/>
        <v>-0.25783783783783781</v>
      </c>
      <c r="BN14">
        <f t="shared" si="19"/>
        <v>6.6794594594594603</v>
      </c>
    </row>
    <row r="15" spans="1:66" x14ac:dyDescent="0.25">
      <c r="A15" s="5"/>
      <c r="S15" s="7" t="s">
        <v>116</v>
      </c>
      <c r="AM15" s="21" t="s">
        <v>16</v>
      </c>
      <c r="AN15" s="21">
        <v>45</v>
      </c>
      <c r="AP15" s="7">
        <f t="shared" si="3"/>
        <v>220.00000000000003</v>
      </c>
      <c r="AQ15" s="27">
        <f t="shared" si="4"/>
        <v>0.12272727272727273</v>
      </c>
      <c r="AR15" s="7">
        <f t="shared" si="5"/>
        <v>247.00000000000006</v>
      </c>
      <c r="AT15" s="11">
        <f t="shared" si="6"/>
        <v>1</v>
      </c>
      <c r="AU15" s="11">
        <f t="shared" si="0"/>
        <v>1</v>
      </c>
      <c r="AV15" s="11">
        <f t="shared" si="0"/>
        <v>1</v>
      </c>
      <c r="AW15" s="11">
        <f t="shared" si="0"/>
        <v>0.80971659919028316</v>
      </c>
      <c r="AX15" s="11">
        <f t="shared" si="0"/>
        <v>0.6072874493927124</v>
      </c>
      <c r="AY15" s="11">
        <f t="shared" si="0"/>
        <v>0.40485829959514158</v>
      </c>
      <c r="AZ15" s="30">
        <f t="shared" si="7"/>
        <v>0</v>
      </c>
      <c r="BA15" s="30">
        <f t="shared" si="8"/>
        <v>0</v>
      </c>
      <c r="BB15" s="30">
        <f t="shared" si="9"/>
        <v>0</v>
      </c>
      <c r="BC15" s="30">
        <f t="shared" si="10"/>
        <v>22.83400809716602</v>
      </c>
      <c r="BD15" s="30">
        <f t="shared" si="11"/>
        <v>47.125506072874515</v>
      </c>
      <c r="BE15" s="30">
        <f t="shared" si="12"/>
        <v>71.41700404858301</v>
      </c>
      <c r="BG15" s="11">
        <f t="shared" si="13"/>
        <v>0</v>
      </c>
      <c r="BH15" s="11">
        <f t="shared" si="14"/>
        <v>0</v>
      </c>
      <c r="BI15" s="11">
        <f t="shared" si="15"/>
        <v>0</v>
      </c>
      <c r="BJ15" s="11">
        <f t="shared" si="16"/>
        <v>-7.9919028340081077E-2</v>
      </c>
      <c r="BK15" s="11">
        <f t="shared" si="17"/>
        <v>-0.1649392712550608</v>
      </c>
      <c r="BL15" s="11">
        <f t="shared" si="18"/>
        <v>-0.24995951417004053</v>
      </c>
      <c r="BN15">
        <f t="shared" si="19"/>
        <v>6.7503643724696349</v>
      </c>
    </row>
    <row r="16" spans="1:66" ht="15.75" thickBot="1" x14ac:dyDescent="0.3">
      <c r="S16" s="28" t="s">
        <v>115</v>
      </c>
      <c r="AD16" s="7">
        <f>0.2/8.8</f>
        <v>2.2727272727272728E-2</v>
      </c>
      <c r="AM16" s="23" t="s">
        <v>22</v>
      </c>
      <c r="AN16" s="26">
        <v>10</v>
      </c>
      <c r="AP16" s="7">
        <f t="shared" si="3"/>
        <v>220.00000000000003</v>
      </c>
      <c r="AQ16" s="27">
        <f t="shared" si="4"/>
        <v>2.7272727272727271E-2</v>
      </c>
      <c r="AR16" s="7">
        <f t="shared" si="5"/>
        <v>226.00000000000006</v>
      </c>
      <c r="AT16" s="11">
        <f t="shared" si="6"/>
        <v>1</v>
      </c>
      <c r="AU16" s="11">
        <f t="shared" si="0"/>
        <v>1</v>
      </c>
      <c r="AV16" s="11">
        <f t="shared" si="0"/>
        <v>1</v>
      </c>
      <c r="AW16" s="11">
        <f t="shared" si="0"/>
        <v>0.8849557522123892</v>
      </c>
      <c r="AX16" s="11">
        <f t="shared" si="0"/>
        <v>0.66371681415929185</v>
      </c>
      <c r="AY16" s="11">
        <f t="shared" si="0"/>
        <v>0.4424778761061946</v>
      </c>
      <c r="AZ16" s="30">
        <f t="shared" si="7"/>
        <v>0</v>
      </c>
      <c r="BA16" s="30">
        <f t="shared" si="8"/>
        <v>0</v>
      </c>
      <c r="BB16" s="30">
        <f t="shared" si="9"/>
        <v>0</v>
      </c>
      <c r="BC16" s="30">
        <f t="shared" si="10"/>
        <v>13.805309734513301</v>
      </c>
      <c r="BD16" s="30">
        <f t="shared" si="11"/>
        <v>40.353982300884979</v>
      </c>
      <c r="BE16" s="30">
        <f t="shared" si="12"/>
        <v>66.902654867256643</v>
      </c>
      <c r="BG16" s="11">
        <f t="shared" si="13"/>
        <v>0</v>
      </c>
      <c r="BH16" s="11">
        <f t="shared" si="14"/>
        <v>0</v>
      </c>
      <c r="BI16" s="11">
        <f t="shared" si="15"/>
        <v>0</v>
      </c>
      <c r="BJ16" s="11">
        <f t="shared" si="16"/>
        <v>-4.8318584070796533E-2</v>
      </c>
      <c r="BK16" s="11">
        <f t="shared" si="17"/>
        <v>-0.1412389380530974</v>
      </c>
      <c r="BL16" s="11">
        <f t="shared" si="18"/>
        <v>-0.23415929203539826</v>
      </c>
      <c r="BN16">
        <f t="shared" si="19"/>
        <v>6.8925663716814158</v>
      </c>
    </row>
    <row r="18" spans="1:55" x14ac:dyDescent="0.25">
      <c r="A18" s="5" t="s">
        <v>59</v>
      </c>
      <c r="AN18" s="7" t="s">
        <v>99</v>
      </c>
      <c r="BB18" t="s">
        <v>119</v>
      </c>
    </row>
    <row r="19" spans="1:55" x14ac:dyDescent="0.25">
      <c r="R19" s="29">
        <f t="shared" ref="R19:X19" si="20">-120*(R20)+120</f>
        <v>0</v>
      </c>
      <c r="S19" s="29">
        <f t="shared" si="20"/>
        <v>0</v>
      </c>
      <c r="T19" s="29">
        <f t="shared" si="20"/>
        <v>8</v>
      </c>
      <c r="U19" s="29">
        <f t="shared" si="20"/>
        <v>72</v>
      </c>
      <c r="V19" s="29">
        <f t="shared" si="20"/>
        <v>100</v>
      </c>
      <c r="W19" s="29">
        <f t="shared" si="20"/>
        <v>0</v>
      </c>
      <c r="X19" s="29">
        <f t="shared" si="20"/>
        <v>120</v>
      </c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BB19" s="11">
        <v>-0.21</v>
      </c>
      <c r="BC19" s="12">
        <v>0.5</v>
      </c>
    </row>
    <row r="20" spans="1:55" x14ac:dyDescent="0.25">
      <c r="R20" s="27">
        <f>IF(R21&gt;1,1,R21)</f>
        <v>1</v>
      </c>
      <c r="S20" s="27">
        <f t="shared" ref="S20:X20" si="21">IF(S21&gt;1,1,S21)</f>
        <v>1</v>
      </c>
      <c r="T20" s="27">
        <f t="shared" si="21"/>
        <v>0.93333333333333335</v>
      </c>
      <c r="U20" s="27">
        <f t="shared" si="21"/>
        <v>0.4</v>
      </c>
      <c r="V20" s="27">
        <f t="shared" si="21"/>
        <v>0.16666666666666666</v>
      </c>
      <c r="W20" s="27">
        <f t="shared" si="21"/>
        <v>1</v>
      </c>
      <c r="X20" s="27">
        <f t="shared" si="21"/>
        <v>0</v>
      </c>
      <c r="Y20" s="27" t="s">
        <v>126</v>
      </c>
      <c r="Z20" s="27" t="s">
        <v>127</v>
      </c>
      <c r="AA20" s="27"/>
      <c r="AB20" s="27"/>
      <c r="AC20" s="27"/>
      <c r="AD20" s="27"/>
      <c r="AE20" s="27"/>
      <c r="AF20" s="27"/>
      <c r="AG20" s="27"/>
      <c r="AH20" s="27"/>
      <c r="AI20" s="27"/>
      <c r="BB20" s="12">
        <v>0</v>
      </c>
      <c r="BC20" s="12">
        <v>1</v>
      </c>
    </row>
    <row r="21" spans="1:55" x14ac:dyDescent="0.25">
      <c r="H21" s="3" t="s">
        <v>50</v>
      </c>
      <c r="I21" s="3" t="s">
        <v>51</v>
      </c>
      <c r="J21" s="4" t="s">
        <v>49</v>
      </c>
      <c r="R21" s="27">
        <f t="shared" ref="R21:X21" si="22">R24/$Q$24</f>
        <v>4</v>
      </c>
      <c r="S21" s="27">
        <f t="shared" si="22"/>
        <v>2</v>
      </c>
      <c r="T21" s="27">
        <f t="shared" si="22"/>
        <v>0.93333333333333335</v>
      </c>
      <c r="U21" s="27">
        <f t="shared" si="22"/>
        <v>0.4</v>
      </c>
      <c r="V21" s="27">
        <f t="shared" si="22"/>
        <v>0.16666666666666666</v>
      </c>
      <c r="W21" s="27">
        <f t="shared" si="22"/>
        <v>1</v>
      </c>
      <c r="X21" s="27">
        <f t="shared" si="22"/>
        <v>0</v>
      </c>
      <c r="Y21" s="27">
        <v>0.45</v>
      </c>
      <c r="Z21" s="27">
        <v>0.45</v>
      </c>
      <c r="AA21" s="27"/>
      <c r="AB21" s="27"/>
      <c r="AC21" s="27"/>
      <c r="AD21" s="27"/>
      <c r="AE21" s="27"/>
      <c r="AF21" s="27"/>
      <c r="AG21" s="27"/>
      <c r="AH21" s="27"/>
      <c r="AI21" s="27"/>
      <c r="AN21" s="7" t="s">
        <v>90</v>
      </c>
      <c r="AT21" t="s">
        <v>92</v>
      </c>
    </row>
    <row r="22" spans="1:55" ht="49.5" customHeight="1" x14ac:dyDescent="0.25">
      <c r="H22">
        <v>2.2000000000000002</v>
      </c>
      <c r="I22">
        <v>1.8</v>
      </c>
      <c r="P22" s="13" t="s">
        <v>95</v>
      </c>
      <c r="Q22" s="13" t="s">
        <v>114</v>
      </c>
      <c r="R22" s="19" t="s">
        <v>107</v>
      </c>
      <c r="S22" s="19" t="s">
        <v>107</v>
      </c>
      <c r="T22" s="19" t="s">
        <v>108</v>
      </c>
      <c r="U22" s="19" t="s">
        <v>109</v>
      </c>
      <c r="V22" s="19" t="s">
        <v>110</v>
      </c>
      <c r="W22" s="19" t="s">
        <v>107</v>
      </c>
      <c r="X22" s="19" t="s">
        <v>113</v>
      </c>
      <c r="Y22" s="19" t="s">
        <v>124</v>
      </c>
      <c r="Z22" s="19" t="s">
        <v>124</v>
      </c>
      <c r="AA22" s="19">
        <v>25</v>
      </c>
      <c r="AB22" s="19">
        <v>18</v>
      </c>
      <c r="AC22" s="19">
        <v>7</v>
      </c>
      <c r="AD22" s="34" t="s">
        <v>130</v>
      </c>
      <c r="AE22" s="34" t="s">
        <v>130</v>
      </c>
      <c r="AF22" s="34" t="s">
        <v>130</v>
      </c>
      <c r="AG22" s="34" t="s">
        <v>131</v>
      </c>
      <c r="AH22" s="34" t="s">
        <v>131</v>
      </c>
      <c r="AI22" s="34" t="s">
        <v>131</v>
      </c>
      <c r="AJ22" s="10">
        <v>65</v>
      </c>
      <c r="AK22" s="10">
        <v>20</v>
      </c>
      <c r="AL22" s="10">
        <v>15</v>
      </c>
      <c r="AN22" s="10">
        <v>60</v>
      </c>
      <c r="AO22" s="10">
        <f>AO23/$AN$23*$AN$22</f>
        <v>48</v>
      </c>
      <c r="AP22" s="10">
        <f>AP23/$AN$23*$AN$22</f>
        <v>36.000000000000007</v>
      </c>
      <c r="AQ22" s="10">
        <f>AQ23/$AN$23*$AN$22</f>
        <v>24.000000000000004</v>
      </c>
      <c r="AR22" s="10">
        <f>AR23/$AN$23*$AN$22</f>
        <v>12.000000000000004</v>
      </c>
      <c r="AS22" s="10">
        <f>AS23/$AN$23*$AN$22</f>
        <v>0</v>
      </c>
      <c r="AT22" s="14">
        <v>0.08</v>
      </c>
      <c r="AU22" s="17">
        <f>AU23/$AT$23*$AT$22</f>
        <v>6.4000000000000001E-2</v>
      </c>
      <c r="AV22" s="17">
        <f>AV23/$AT$23*$AT$22</f>
        <v>4.8000000000000008E-2</v>
      </c>
      <c r="AW22" s="17">
        <f>AW23/$AT$23*$AT$22</f>
        <v>3.2000000000000008E-2</v>
      </c>
      <c r="AX22" s="17">
        <f>AX23/$AT$23*$AT$22</f>
        <v>1.6000000000000007E-2</v>
      </c>
      <c r="AY22" s="17">
        <f>AY23/$AT$23*$AT$22</f>
        <v>0</v>
      </c>
    </row>
    <row r="23" spans="1:55" ht="45" x14ac:dyDescent="0.25">
      <c r="A23" s="3" t="s">
        <v>24</v>
      </c>
      <c r="B23" s="3" t="s">
        <v>25</v>
      </c>
      <c r="C23" s="3" t="s">
        <v>26</v>
      </c>
      <c r="D23" s="3" t="s">
        <v>53</v>
      </c>
      <c r="E23" s="3" t="s">
        <v>23</v>
      </c>
      <c r="F23" s="3" t="s">
        <v>55</v>
      </c>
      <c r="G23" s="3" t="s">
        <v>52</v>
      </c>
      <c r="H23" s="3" t="s">
        <v>50</v>
      </c>
      <c r="I23" s="3" t="s">
        <v>51</v>
      </c>
      <c r="J23" s="4" t="s">
        <v>49</v>
      </c>
      <c r="K23" s="3" t="s">
        <v>69</v>
      </c>
      <c r="L23" s="3" t="s">
        <v>69</v>
      </c>
      <c r="M23" s="3" t="s">
        <v>85</v>
      </c>
      <c r="N23" s="3" t="s">
        <v>86</v>
      </c>
      <c r="O23" s="18" t="s">
        <v>93</v>
      </c>
      <c r="P23" s="3" t="s">
        <v>94</v>
      </c>
      <c r="Q23" s="20" t="s">
        <v>96</v>
      </c>
      <c r="R23" s="20" t="s">
        <v>98</v>
      </c>
      <c r="S23" s="20" t="s">
        <v>97</v>
      </c>
      <c r="T23" s="20" t="s">
        <v>104</v>
      </c>
      <c r="U23" s="20" t="s">
        <v>105</v>
      </c>
      <c r="V23" s="20" t="s">
        <v>106</v>
      </c>
      <c r="W23" s="20" t="s">
        <v>111</v>
      </c>
      <c r="X23" s="20" t="s">
        <v>112</v>
      </c>
      <c r="Y23" s="31" t="s">
        <v>129</v>
      </c>
      <c r="Z23" s="31" t="s">
        <v>128</v>
      </c>
      <c r="AA23" s="31" t="s">
        <v>122</v>
      </c>
      <c r="AB23" s="31" t="s">
        <v>123</v>
      </c>
      <c r="AC23" s="31" t="s">
        <v>125</v>
      </c>
      <c r="AD23" s="31" t="s">
        <v>122</v>
      </c>
      <c r="AE23" s="31" t="s">
        <v>123</v>
      </c>
      <c r="AF23" s="31" t="s">
        <v>125</v>
      </c>
      <c r="AG23" s="31" t="s">
        <v>122</v>
      </c>
      <c r="AH23" s="31" t="s">
        <v>123</v>
      </c>
      <c r="AI23" s="31" t="s">
        <v>125</v>
      </c>
      <c r="AN23" s="14">
        <v>1</v>
      </c>
      <c r="AO23" s="14">
        <f>AN23-0.2</f>
        <v>0.8</v>
      </c>
      <c r="AP23" s="14">
        <f>AO23-0.2</f>
        <v>0.60000000000000009</v>
      </c>
      <c r="AQ23" s="14">
        <f>AP23-0.2</f>
        <v>0.40000000000000008</v>
      </c>
      <c r="AR23" s="14">
        <f>AQ23-0.2</f>
        <v>0.20000000000000007</v>
      </c>
      <c r="AS23" s="14">
        <f>AR23-0.2</f>
        <v>0</v>
      </c>
      <c r="AT23" s="14">
        <v>1</v>
      </c>
      <c r="AU23" s="14">
        <f>AT23-0.2</f>
        <v>0.8</v>
      </c>
      <c r="AV23" s="14">
        <f>AU23-0.2</f>
        <v>0.60000000000000009</v>
      </c>
      <c r="AW23" s="14">
        <f>AV23-0.2</f>
        <v>0.40000000000000008</v>
      </c>
      <c r="AX23" s="14">
        <f>AW23-0.2</f>
        <v>0.20000000000000007</v>
      </c>
      <c r="AY23" s="14">
        <f>AX23-0.2</f>
        <v>0</v>
      </c>
    </row>
    <row r="24" spans="1:55" x14ac:dyDescent="0.25">
      <c r="A24" t="s">
        <v>5</v>
      </c>
      <c r="B24" s="5" t="s">
        <v>11</v>
      </c>
      <c r="C24">
        <v>6</v>
      </c>
      <c r="D24" t="s">
        <v>28</v>
      </c>
      <c r="E24">
        <v>1</v>
      </c>
      <c r="F24" s="1" t="s">
        <v>46</v>
      </c>
      <c r="G24">
        <v>1.04</v>
      </c>
      <c r="H24">
        <v>1.05</v>
      </c>
      <c r="I24">
        <v>0.84</v>
      </c>
      <c r="J24">
        <v>1</v>
      </c>
      <c r="K24" t="s">
        <v>68</v>
      </c>
      <c r="L24">
        <v>85</v>
      </c>
      <c r="M24">
        <v>15</v>
      </c>
      <c r="N24">
        <v>15</v>
      </c>
      <c r="O24">
        <v>80</v>
      </c>
      <c r="P24">
        <f t="shared" ref="P24:P35" si="23">O24/2</f>
        <v>40</v>
      </c>
      <c r="Q24" s="7">
        <v>300</v>
      </c>
      <c r="R24" s="7">
        <f>8*150</f>
        <v>1200</v>
      </c>
      <c r="S24" s="7">
        <f>4*150</f>
        <v>600</v>
      </c>
      <c r="T24" s="7">
        <f>35*8</f>
        <v>280</v>
      </c>
      <c r="U24" s="7">
        <f>3*40</f>
        <v>120</v>
      </c>
      <c r="V24" s="7">
        <v>50</v>
      </c>
      <c r="W24" s="7">
        <f>(60/4)*20</f>
        <v>300</v>
      </c>
      <c r="X24" s="7">
        <v>0</v>
      </c>
      <c r="Y24" s="32">
        <f>(M24/45)*0.06</f>
        <v>1.9999999999999997E-2</v>
      </c>
      <c r="Z24" s="32">
        <f>(N24/45)*0.06</f>
        <v>1.9999999999999997E-2</v>
      </c>
      <c r="AA24" s="33">
        <f>AB24/$AB$22*$AA$22</f>
        <v>2.7777777777777773E-2</v>
      </c>
      <c r="AB24" s="32">
        <f>MAX(Y24:Z24)</f>
        <v>1.9999999999999997E-2</v>
      </c>
      <c r="AC24" s="33">
        <f>AB24/$AB$22*$AC$22</f>
        <v>7.7777777777777758E-3</v>
      </c>
      <c r="AD24" s="33">
        <f>AA24</f>
        <v>2.7777777777777773E-2</v>
      </c>
      <c r="AE24" s="33">
        <f>AB24</f>
        <v>1.9999999999999997E-2</v>
      </c>
      <c r="AF24" s="33">
        <f>AC24</f>
        <v>7.7777777777777758E-3</v>
      </c>
      <c r="AG24" s="33">
        <f>AD24+$AD$16</f>
        <v>5.0505050505050497E-2</v>
      </c>
      <c r="AH24" s="33">
        <f t="shared" ref="AH24:AH35" si="24">AE24+$AD$16</f>
        <v>4.2727272727272725E-2</v>
      </c>
      <c r="AI24" s="33">
        <f t="shared" ref="AI24:AI35" si="25">AF24+$AD$16</f>
        <v>3.0505050505050504E-2</v>
      </c>
      <c r="AJ24" s="16">
        <f t="shared" ref="AJ24:AJ35" si="26">L24/$AJ$22</f>
        <v>1.3076923076923077</v>
      </c>
      <c r="AK24" s="16">
        <f t="shared" ref="AK24:AK35" si="27">M24/$AK$22</f>
        <v>0.75</v>
      </c>
      <c r="AL24" s="16">
        <f t="shared" ref="AL24:AL35" si="28">N24/$AL$22</f>
        <v>1</v>
      </c>
      <c r="AM24" s="14">
        <f t="shared" ref="AM24:AM35" si="29">1-AJ24</f>
        <v>-0.30769230769230771</v>
      </c>
      <c r="AN24" s="15">
        <f t="shared" ref="AN24:AS35" si="30">$AJ24*AN$22</f>
        <v>78.461538461538467</v>
      </c>
      <c r="AO24" s="15">
        <f t="shared" si="30"/>
        <v>62.769230769230774</v>
      </c>
      <c r="AP24" s="15">
        <f t="shared" si="30"/>
        <v>47.076923076923087</v>
      </c>
      <c r="AQ24" s="15">
        <f t="shared" si="30"/>
        <v>31.38461538461539</v>
      </c>
      <c r="AR24" s="15">
        <f t="shared" si="30"/>
        <v>15.692307692307697</v>
      </c>
      <c r="AS24" s="15">
        <f t="shared" si="30"/>
        <v>0</v>
      </c>
    </row>
    <row r="25" spans="1:55" x14ac:dyDescent="0.25">
      <c r="A25" t="s">
        <v>4</v>
      </c>
      <c r="B25" t="s">
        <v>13</v>
      </c>
      <c r="C25">
        <v>5</v>
      </c>
      <c r="D25" t="s">
        <v>28</v>
      </c>
      <c r="E25">
        <v>1</v>
      </c>
      <c r="F25" s="1" t="s">
        <v>46</v>
      </c>
      <c r="G25">
        <v>1.04</v>
      </c>
      <c r="H25">
        <v>1.05</v>
      </c>
      <c r="I25">
        <v>0.84</v>
      </c>
      <c r="J25">
        <v>1</v>
      </c>
      <c r="K25" t="s">
        <v>71</v>
      </c>
      <c r="L25">
        <v>70</v>
      </c>
      <c r="M25">
        <v>30</v>
      </c>
      <c r="N25">
        <v>0</v>
      </c>
      <c r="O25">
        <v>90</v>
      </c>
      <c r="P25">
        <f t="shared" si="23"/>
        <v>45</v>
      </c>
      <c r="Q25" s="7">
        <v>300</v>
      </c>
      <c r="R25" s="7">
        <f t="shared" ref="R25:R35" si="31">8*150</f>
        <v>1200</v>
      </c>
      <c r="S25" s="7">
        <f t="shared" ref="S25:S35" si="32">4*150</f>
        <v>600</v>
      </c>
      <c r="T25" s="7">
        <f t="shared" ref="T25:T35" si="33">35*8</f>
        <v>280</v>
      </c>
      <c r="U25" s="7">
        <f t="shared" ref="U25:U35" si="34">3*40</f>
        <v>120</v>
      </c>
      <c r="V25" s="7">
        <v>50</v>
      </c>
      <c r="W25" s="7">
        <f t="shared" ref="W25:W35" si="35">(60/4)*20</f>
        <v>300</v>
      </c>
      <c r="X25" s="7">
        <v>0</v>
      </c>
      <c r="Y25" s="32">
        <f t="shared" ref="Y25:Y35" si="36">(M25/45)*0.06</f>
        <v>3.9999999999999994E-2</v>
      </c>
      <c r="Z25" s="32">
        <f t="shared" ref="Z25:Z35" si="37">(N25/45)*0.06</f>
        <v>0</v>
      </c>
      <c r="AA25" s="33">
        <f t="shared" ref="AA25:AA35" si="38">AB25/$AB$22*$AA$22</f>
        <v>5.5555555555555546E-2</v>
      </c>
      <c r="AB25" s="32">
        <f t="shared" ref="AB25:AB35" si="39">MAX(Y25:Z25)</f>
        <v>3.9999999999999994E-2</v>
      </c>
      <c r="AC25" s="33">
        <f t="shared" ref="AC25:AC35" si="40">AB25/$AB$22*$AC$22</f>
        <v>1.5555555555555552E-2</v>
      </c>
      <c r="AD25" s="33">
        <f t="shared" ref="AD25:AD35" si="41">AA25</f>
        <v>5.5555555555555546E-2</v>
      </c>
      <c r="AE25" s="33">
        <f t="shared" ref="AE25:AE35" si="42">AB25</f>
        <v>3.9999999999999994E-2</v>
      </c>
      <c r="AF25" s="33">
        <f t="shared" ref="AF25:AF35" si="43">AC25</f>
        <v>1.5555555555555552E-2</v>
      </c>
      <c r="AG25" s="33">
        <f t="shared" ref="AG25:AG35" si="44">AD25+$AD$16</f>
        <v>7.8282828282828273E-2</v>
      </c>
      <c r="AH25" s="33">
        <f t="shared" si="24"/>
        <v>6.2727272727272715E-2</v>
      </c>
      <c r="AI25" s="33">
        <f t="shared" si="25"/>
        <v>3.828282828282828E-2</v>
      </c>
      <c r="AJ25" s="16">
        <f t="shared" si="26"/>
        <v>1.0769230769230769</v>
      </c>
      <c r="AK25" s="16">
        <f t="shared" si="27"/>
        <v>1.5</v>
      </c>
      <c r="AL25" s="16">
        <f t="shared" si="28"/>
        <v>0</v>
      </c>
      <c r="AM25" s="14">
        <f t="shared" si="29"/>
        <v>-7.6923076923076872E-2</v>
      </c>
      <c r="AN25" s="15">
        <f t="shared" si="30"/>
        <v>64.615384615384613</v>
      </c>
      <c r="AO25" s="15">
        <f t="shared" si="30"/>
        <v>51.692307692307693</v>
      </c>
      <c r="AP25" s="15">
        <f t="shared" si="30"/>
        <v>38.769230769230774</v>
      </c>
      <c r="AQ25" s="15">
        <f t="shared" si="30"/>
        <v>25.84615384615385</v>
      </c>
      <c r="AR25" s="15">
        <f t="shared" si="30"/>
        <v>12.923076923076927</v>
      </c>
      <c r="AS25" s="15">
        <f t="shared" si="30"/>
        <v>0</v>
      </c>
    </row>
    <row r="26" spans="1:55" x14ac:dyDescent="0.25">
      <c r="A26" t="s">
        <v>2</v>
      </c>
      <c r="B26" t="s">
        <v>12</v>
      </c>
      <c r="C26">
        <v>3</v>
      </c>
      <c r="D26" t="s">
        <v>28</v>
      </c>
      <c r="E26">
        <v>1</v>
      </c>
      <c r="F26" s="1" t="s">
        <v>46</v>
      </c>
      <c r="G26">
        <v>1.04</v>
      </c>
      <c r="H26">
        <v>1.05</v>
      </c>
      <c r="I26">
        <v>0.84</v>
      </c>
      <c r="J26">
        <v>1</v>
      </c>
      <c r="K26" t="s">
        <v>70</v>
      </c>
      <c r="L26">
        <v>85</v>
      </c>
      <c r="M26">
        <v>15</v>
      </c>
      <c r="N26">
        <v>0</v>
      </c>
      <c r="O26">
        <v>130</v>
      </c>
      <c r="P26">
        <f t="shared" si="23"/>
        <v>65</v>
      </c>
      <c r="Q26" s="7">
        <v>300</v>
      </c>
      <c r="R26" s="7">
        <f t="shared" si="31"/>
        <v>1200</v>
      </c>
      <c r="S26" s="7">
        <f t="shared" si="32"/>
        <v>600</v>
      </c>
      <c r="T26" s="7">
        <f t="shared" si="33"/>
        <v>280</v>
      </c>
      <c r="U26" s="7">
        <f t="shared" si="34"/>
        <v>120</v>
      </c>
      <c r="V26" s="7">
        <v>50</v>
      </c>
      <c r="W26" s="7">
        <f t="shared" si="35"/>
        <v>300</v>
      </c>
      <c r="X26" s="7">
        <v>0</v>
      </c>
      <c r="Y26" s="32">
        <f t="shared" si="36"/>
        <v>1.9999999999999997E-2</v>
      </c>
      <c r="Z26" s="32">
        <f t="shared" si="37"/>
        <v>0</v>
      </c>
      <c r="AA26" s="33">
        <f>AB26/$AB$22*$AA$22</f>
        <v>2.7777777777777773E-2</v>
      </c>
      <c r="AB26" s="32">
        <f t="shared" si="39"/>
        <v>1.9999999999999997E-2</v>
      </c>
      <c r="AC26" s="33">
        <f t="shared" si="40"/>
        <v>7.7777777777777758E-3</v>
      </c>
      <c r="AD26" s="33">
        <f t="shared" si="41"/>
        <v>2.7777777777777773E-2</v>
      </c>
      <c r="AE26" s="33">
        <f t="shared" si="42"/>
        <v>1.9999999999999997E-2</v>
      </c>
      <c r="AF26" s="33">
        <f t="shared" si="43"/>
        <v>7.7777777777777758E-3</v>
      </c>
      <c r="AG26" s="33">
        <f t="shared" si="44"/>
        <v>5.0505050505050497E-2</v>
      </c>
      <c r="AH26" s="33">
        <f t="shared" si="24"/>
        <v>4.2727272727272725E-2</v>
      </c>
      <c r="AI26" s="33">
        <f t="shared" si="25"/>
        <v>3.0505050505050504E-2</v>
      </c>
      <c r="AJ26" s="16">
        <f t="shared" si="26"/>
        <v>1.3076923076923077</v>
      </c>
      <c r="AK26" s="16">
        <f t="shared" si="27"/>
        <v>0.75</v>
      </c>
      <c r="AL26" s="16">
        <f t="shared" si="28"/>
        <v>0</v>
      </c>
      <c r="AM26" s="14">
        <f t="shared" si="29"/>
        <v>-0.30769230769230771</v>
      </c>
      <c r="AN26" s="15">
        <f t="shared" si="30"/>
        <v>78.461538461538467</v>
      </c>
      <c r="AO26" s="15">
        <f t="shared" si="30"/>
        <v>62.769230769230774</v>
      </c>
      <c r="AP26" s="15">
        <f t="shared" si="30"/>
        <v>47.076923076923087</v>
      </c>
      <c r="AQ26" s="15">
        <f t="shared" si="30"/>
        <v>31.38461538461539</v>
      </c>
      <c r="AR26" s="15">
        <f t="shared" si="30"/>
        <v>15.692307692307697</v>
      </c>
      <c r="AS26" s="15">
        <f t="shared" si="30"/>
        <v>0</v>
      </c>
    </row>
    <row r="27" spans="1:55" x14ac:dyDescent="0.25">
      <c r="A27" t="s">
        <v>0</v>
      </c>
      <c r="B27" t="s">
        <v>17</v>
      </c>
      <c r="C27">
        <v>1</v>
      </c>
      <c r="D27" t="s">
        <v>54</v>
      </c>
      <c r="E27">
        <v>3</v>
      </c>
      <c r="F27" s="2" t="s">
        <v>48</v>
      </c>
      <c r="G27">
        <v>1.07</v>
      </c>
      <c r="H27">
        <v>1</v>
      </c>
      <c r="I27">
        <v>1</v>
      </c>
      <c r="J27">
        <v>1</v>
      </c>
      <c r="K27" t="s">
        <v>74</v>
      </c>
      <c r="L27">
        <v>50</v>
      </c>
      <c r="M27">
        <v>20</v>
      </c>
      <c r="N27">
        <v>30</v>
      </c>
      <c r="O27">
        <v>155</v>
      </c>
      <c r="P27">
        <f t="shared" si="23"/>
        <v>77.5</v>
      </c>
      <c r="Q27" s="7">
        <v>300</v>
      </c>
      <c r="R27" s="7">
        <f t="shared" si="31"/>
        <v>1200</v>
      </c>
      <c r="S27" s="7">
        <f t="shared" si="32"/>
        <v>600</v>
      </c>
      <c r="T27" s="7">
        <f t="shared" si="33"/>
        <v>280</v>
      </c>
      <c r="U27" s="7">
        <f t="shared" si="34"/>
        <v>120</v>
      </c>
      <c r="V27" s="7">
        <v>50</v>
      </c>
      <c r="W27" s="7">
        <f t="shared" si="35"/>
        <v>300</v>
      </c>
      <c r="X27" s="7">
        <v>0</v>
      </c>
      <c r="Y27" s="32">
        <f t="shared" si="36"/>
        <v>2.6666666666666665E-2</v>
      </c>
      <c r="Z27" s="32">
        <f t="shared" si="37"/>
        <v>3.9999999999999994E-2</v>
      </c>
      <c r="AA27" s="33">
        <f t="shared" si="38"/>
        <v>5.5555555555555546E-2</v>
      </c>
      <c r="AB27" s="32">
        <f t="shared" si="39"/>
        <v>3.9999999999999994E-2</v>
      </c>
      <c r="AC27" s="33">
        <f t="shared" si="40"/>
        <v>1.5555555555555552E-2</v>
      </c>
      <c r="AD27" s="33">
        <f t="shared" si="41"/>
        <v>5.5555555555555546E-2</v>
      </c>
      <c r="AE27" s="33">
        <f t="shared" si="42"/>
        <v>3.9999999999999994E-2</v>
      </c>
      <c r="AF27" s="33">
        <f t="shared" si="43"/>
        <v>1.5555555555555552E-2</v>
      </c>
      <c r="AG27" s="33">
        <f t="shared" si="44"/>
        <v>7.8282828282828273E-2</v>
      </c>
      <c r="AH27" s="33">
        <f t="shared" si="24"/>
        <v>6.2727272727272715E-2</v>
      </c>
      <c r="AI27" s="33">
        <f t="shared" si="25"/>
        <v>3.828282828282828E-2</v>
      </c>
      <c r="AJ27" s="16">
        <f t="shared" si="26"/>
        <v>0.76923076923076927</v>
      </c>
      <c r="AK27" s="16">
        <f t="shared" si="27"/>
        <v>1</v>
      </c>
      <c r="AL27" s="16">
        <f t="shared" si="28"/>
        <v>2</v>
      </c>
      <c r="AM27" s="14">
        <f t="shared" si="29"/>
        <v>0.23076923076923073</v>
      </c>
      <c r="AN27" s="15">
        <f t="shared" si="30"/>
        <v>46.153846153846153</v>
      </c>
      <c r="AO27" s="15">
        <f t="shared" si="30"/>
        <v>36.923076923076927</v>
      </c>
      <c r="AP27" s="15">
        <f t="shared" si="30"/>
        <v>27.692307692307701</v>
      </c>
      <c r="AQ27" s="15">
        <f t="shared" si="30"/>
        <v>18.461538461538467</v>
      </c>
      <c r="AR27" s="15">
        <f t="shared" si="30"/>
        <v>9.2307692307692335</v>
      </c>
      <c r="AS27" s="15">
        <f t="shared" si="30"/>
        <v>0</v>
      </c>
    </row>
    <row r="28" spans="1:55" x14ac:dyDescent="0.25">
      <c r="A28" t="s">
        <v>1</v>
      </c>
      <c r="B28" t="s">
        <v>14</v>
      </c>
      <c r="C28">
        <v>2</v>
      </c>
      <c r="D28" t="s">
        <v>27</v>
      </c>
      <c r="E28">
        <v>2</v>
      </c>
      <c r="F28" s="6" t="s">
        <v>47</v>
      </c>
      <c r="G28">
        <v>1.05</v>
      </c>
      <c r="H28">
        <v>1.05</v>
      </c>
      <c r="I28">
        <v>0.92</v>
      </c>
      <c r="J28">
        <v>1</v>
      </c>
      <c r="K28" t="s">
        <v>79</v>
      </c>
      <c r="L28">
        <v>55</v>
      </c>
      <c r="M28">
        <v>40</v>
      </c>
      <c r="N28">
        <v>15</v>
      </c>
      <c r="O28">
        <v>155</v>
      </c>
      <c r="P28">
        <f t="shared" si="23"/>
        <v>77.5</v>
      </c>
      <c r="Q28" s="7">
        <v>300</v>
      </c>
      <c r="R28" s="7">
        <f t="shared" si="31"/>
        <v>1200</v>
      </c>
      <c r="S28" s="7">
        <f t="shared" si="32"/>
        <v>600</v>
      </c>
      <c r="T28" s="7">
        <f t="shared" si="33"/>
        <v>280</v>
      </c>
      <c r="U28" s="7">
        <f t="shared" si="34"/>
        <v>120</v>
      </c>
      <c r="V28" s="7">
        <v>50</v>
      </c>
      <c r="W28" s="7">
        <f t="shared" si="35"/>
        <v>300</v>
      </c>
      <c r="X28" s="7">
        <v>0</v>
      </c>
      <c r="Y28" s="32">
        <f t="shared" si="36"/>
        <v>5.333333333333333E-2</v>
      </c>
      <c r="Z28" s="32">
        <f t="shared" si="37"/>
        <v>1.9999999999999997E-2</v>
      </c>
      <c r="AA28" s="33">
        <f t="shared" si="38"/>
        <v>7.407407407407407E-2</v>
      </c>
      <c r="AB28" s="32">
        <f t="shared" si="39"/>
        <v>5.333333333333333E-2</v>
      </c>
      <c r="AC28" s="33">
        <f t="shared" si="40"/>
        <v>2.074074074074074E-2</v>
      </c>
      <c r="AD28" s="33">
        <f t="shared" si="41"/>
        <v>7.407407407407407E-2</v>
      </c>
      <c r="AE28" s="33">
        <f t="shared" si="42"/>
        <v>5.333333333333333E-2</v>
      </c>
      <c r="AF28" s="33">
        <f t="shared" si="43"/>
        <v>2.074074074074074E-2</v>
      </c>
      <c r="AG28" s="33">
        <f t="shared" si="44"/>
        <v>9.6801346801346805E-2</v>
      </c>
      <c r="AH28" s="33">
        <f t="shared" si="24"/>
        <v>7.6060606060606051E-2</v>
      </c>
      <c r="AI28" s="33">
        <f t="shared" si="25"/>
        <v>4.3468013468013468E-2</v>
      </c>
      <c r="AJ28" s="16">
        <f t="shared" si="26"/>
        <v>0.84615384615384615</v>
      </c>
      <c r="AK28" s="16">
        <f t="shared" si="27"/>
        <v>2</v>
      </c>
      <c r="AL28" s="16">
        <f t="shared" si="28"/>
        <v>1</v>
      </c>
      <c r="AM28" s="14">
        <f t="shared" si="29"/>
        <v>0.15384615384615385</v>
      </c>
      <c r="AN28" s="15">
        <f t="shared" si="30"/>
        <v>50.769230769230766</v>
      </c>
      <c r="AO28" s="15">
        <f t="shared" si="30"/>
        <v>40.615384615384613</v>
      </c>
      <c r="AP28" s="15">
        <f t="shared" si="30"/>
        <v>30.461538461538467</v>
      </c>
      <c r="AQ28" s="15">
        <f t="shared" si="30"/>
        <v>20.30769230769231</v>
      </c>
      <c r="AR28" s="15">
        <f t="shared" si="30"/>
        <v>10.153846153846157</v>
      </c>
      <c r="AS28" s="15">
        <f t="shared" si="30"/>
        <v>0</v>
      </c>
    </row>
    <row r="29" spans="1:55" x14ac:dyDescent="0.25">
      <c r="A29" t="s">
        <v>8</v>
      </c>
      <c r="B29" t="s">
        <v>20</v>
      </c>
      <c r="C29">
        <v>9</v>
      </c>
      <c r="D29" t="s">
        <v>54</v>
      </c>
      <c r="E29">
        <v>3</v>
      </c>
      <c r="F29" s="2" t="s">
        <v>48</v>
      </c>
      <c r="G29">
        <v>1.07</v>
      </c>
      <c r="H29">
        <v>1</v>
      </c>
      <c r="I29">
        <v>1.05</v>
      </c>
      <c r="J29">
        <v>1.02</v>
      </c>
      <c r="K29" t="s">
        <v>77</v>
      </c>
      <c r="L29">
        <v>20</v>
      </c>
      <c r="M29">
        <v>55</v>
      </c>
      <c r="N29">
        <v>25</v>
      </c>
      <c r="O29">
        <v>155</v>
      </c>
      <c r="P29">
        <f t="shared" si="23"/>
        <v>77.5</v>
      </c>
      <c r="Q29" s="7">
        <v>300</v>
      </c>
      <c r="R29" s="7">
        <f t="shared" si="31"/>
        <v>1200</v>
      </c>
      <c r="S29" s="7">
        <f t="shared" si="32"/>
        <v>600</v>
      </c>
      <c r="T29" s="7">
        <f t="shared" si="33"/>
        <v>280</v>
      </c>
      <c r="U29" s="7">
        <f t="shared" si="34"/>
        <v>120</v>
      </c>
      <c r="V29" s="7">
        <v>50</v>
      </c>
      <c r="W29" s="7">
        <f t="shared" si="35"/>
        <v>300</v>
      </c>
      <c r="X29" s="7">
        <v>0</v>
      </c>
      <c r="Y29" s="32">
        <f t="shared" si="36"/>
        <v>7.3333333333333334E-2</v>
      </c>
      <c r="Z29" s="32">
        <f t="shared" si="37"/>
        <v>3.3333333333333333E-2</v>
      </c>
      <c r="AA29" s="33">
        <f t="shared" si="38"/>
        <v>0.10185185185185185</v>
      </c>
      <c r="AB29" s="32">
        <f t="shared" si="39"/>
        <v>7.3333333333333334E-2</v>
      </c>
      <c r="AC29" s="33">
        <f t="shared" si="40"/>
        <v>2.8518518518518516E-2</v>
      </c>
      <c r="AD29" s="33">
        <f t="shared" si="41"/>
        <v>0.10185185185185185</v>
      </c>
      <c r="AE29" s="33">
        <f t="shared" si="42"/>
        <v>7.3333333333333334E-2</v>
      </c>
      <c r="AF29" s="33">
        <f t="shared" si="43"/>
        <v>2.8518518518518516E-2</v>
      </c>
      <c r="AG29" s="33">
        <f t="shared" si="44"/>
        <v>0.12457912457912457</v>
      </c>
      <c r="AH29" s="33">
        <f t="shared" si="24"/>
        <v>9.6060606060606069E-2</v>
      </c>
      <c r="AI29" s="33">
        <f t="shared" si="25"/>
        <v>5.1245791245791247E-2</v>
      </c>
      <c r="AJ29" s="16">
        <f t="shared" si="26"/>
        <v>0.30769230769230771</v>
      </c>
      <c r="AK29" s="16">
        <f t="shared" si="27"/>
        <v>2.75</v>
      </c>
      <c r="AL29" s="16">
        <f t="shared" si="28"/>
        <v>1.6666666666666667</v>
      </c>
      <c r="AM29" s="14">
        <f t="shared" si="29"/>
        <v>0.69230769230769229</v>
      </c>
      <c r="AN29" s="15">
        <f t="shared" si="30"/>
        <v>18.461538461538463</v>
      </c>
      <c r="AO29" s="15">
        <f t="shared" si="30"/>
        <v>14.76923076923077</v>
      </c>
      <c r="AP29" s="15">
        <f t="shared" si="30"/>
        <v>11.07692307692308</v>
      </c>
      <c r="AQ29" s="15">
        <f t="shared" si="30"/>
        <v>7.3846153846153859</v>
      </c>
      <c r="AR29" s="15">
        <f t="shared" si="30"/>
        <v>3.6923076923076934</v>
      </c>
      <c r="AS29" s="15">
        <f t="shared" si="30"/>
        <v>0</v>
      </c>
    </row>
    <row r="30" spans="1:55" x14ac:dyDescent="0.25">
      <c r="A30" t="s">
        <v>9</v>
      </c>
      <c r="B30" t="s">
        <v>16</v>
      </c>
      <c r="C30">
        <v>11</v>
      </c>
      <c r="D30" t="s">
        <v>54</v>
      </c>
      <c r="E30">
        <v>3</v>
      </c>
      <c r="F30" s="2" t="s">
        <v>48</v>
      </c>
      <c r="G30">
        <v>1.07</v>
      </c>
      <c r="H30">
        <v>1</v>
      </c>
      <c r="I30">
        <v>1</v>
      </c>
      <c r="J30">
        <v>1</v>
      </c>
      <c r="K30" t="s">
        <v>78</v>
      </c>
      <c r="L30">
        <v>45</v>
      </c>
      <c r="M30">
        <v>30</v>
      </c>
      <c r="N30">
        <v>25</v>
      </c>
      <c r="O30">
        <v>155</v>
      </c>
      <c r="P30">
        <f t="shared" si="23"/>
        <v>77.5</v>
      </c>
      <c r="Q30" s="7">
        <v>300</v>
      </c>
      <c r="R30" s="7">
        <f t="shared" si="31"/>
        <v>1200</v>
      </c>
      <c r="S30" s="7">
        <f t="shared" si="32"/>
        <v>600</v>
      </c>
      <c r="T30" s="7">
        <f t="shared" si="33"/>
        <v>280</v>
      </c>
      <c r="U30" s="7">
        <f t="shared" si="34"/>
        <v>120</v>
      </c>
      <c r="V30" s="7">
        <v>50</v>
      </c>
      <c r="W30" s="7">
        <f t="shared" si="35"/>
        <v>300</v>
      </c>
      <c r="X30" s="7">
        <v>0</v>
      </c>
      <c r="Y30" s="32">
        <f t="shared" si="36"/>
        <v>3.9999999999999994E-2</v>
      </c>
      <c r="Z30" s="32">
        <f t="shared" si="37"/>
        <v>3.3333333333333333E-2</v>
      </c>
      <c r="AA30" s="33">
        <f t="shared" si="38"/>
        <v>5.5555555555555546E-2</v>
      </c>
      <c r="AB30" s="32">
        <f t="shared" si="39"/>
        <v>3.9999999999999994E-2</v>
      </c>
      <c r="AC30" s="33">
        <f t="shared" si="40"/>
        <v>1.5555555555555552E-2</v>
      </c>
      <c r="AD30" s="33">
        <f t="shared" si="41"/>
        <v>5.5555555555555546E-2</v>
      </c>
      <c r="AE30" s="33">
        <f t="shared" si="42"/>
        <v>3.9999999999999994E-2</v>
      </c>
      <c r="AF30" s="33">
        <f t="shared" si="43"/>
        <v>1.5555555555555552E-2</v>
      </c>
      <c r="AG30" s="33">
        <f t="shared" si="44"/>
        <v>7.8282828282828273E-2</v>
      </c>
      <c r="AH30" s="33">
        <f t="shared" si="24"/>
        <v>6.2727272727272715E-2</v>
      </c>
      <c r="AI30" s="33">
        <f t="shared" si="25"/>
        <v>3.828282828282828E-2</v>
      </c>
      <c r="AJ30" s="16">
        <f t="shared" si="26"/>
        <v>0.69230769230769229</v>
      </c>
      <c r="AK30" s="16">
        <f t="shared" si="27"/>
        <v>1.5</v>
      </c>
      <c r="AL30" s="16">
        <f t="shared" si="28"/>
        <v>1.6666666666666667</v>
      </c>
      <c r="AM30" s="14">
        <f t="shared" si="29"/>
        <v>0.30769230769230771</v>
      </c>
      <c r="AN30" s="15">
        <f t="shared" si="30"/>
        <v>41.53846153846154</v>
      </c>
      <c r="AO30" s="15">
        <f t="shared" si="30"/>
        <v>33.230769230769226</v>
      </c>
      <c r="AP30" s="15">
        <f t="shared" si="30"/>
        <v>24.923076923076927</v>
      </c>
      <c r="AQ30" s="15">
        <f t="shared" si="30"/>
        <v>16.615384615384617</v>
      </c>
      <c r="AR30" s="15">
        <f t="shared" si="30"/>
        <v>8.3076923076923102</v>
      </c>
      <c r="AS30" s="15">
        <f t="shared" si="30"/>
        <v>0</v>
      </c>
    </row>
    <row r="31" spans="1:55" x14ac:dyDescent="0.25">
      <c r="A31" t="s">
        <v>3</v>
      </c>
      <c r="B31" t="s">
        <v>15</v>
      </c>
      <c r="C31">
        <v>4</v>
      </c>
      <c r="D31" t="s">
        <v>54</v>
      </c>
      <c r="E31">
        <v>3</v>
      </c>
      <c r="F31" s="2" t="s">
        <v>48</v>
      </c>
      <c r="G31">
        <v>1.07</v>
      </c>
      <c r="H31">
        <v>1</v>
      </c>
      <c r="I31">
        <v>1.05</v>
      </c>
      <c r="J31">
        <v>1.02</v>
      </c>
      <c r="K31" t="s">
        <v>72</v>
      </c>
      <c r="L31">
        <v>50</v>
      </c>
      <c r="M31">
        <v>50</v>
      </c>
      <c r="N31">
        <v>0</v>
      </c>
      <c r="O31">
        <v>160</v>
      </c>
      <c r="P31">
        <f t="shared" si="23"/>
        <v>80</v>
      </c>
      <c r="Q31" s="7">
        <v>300</v>
      </c>
      <c r="R31" s="7">
        <f t="shared" si="31"/>
        <v>1200</v>
      </c>
      <c r="S31" s="7">
        <f t="shared" si="32"/>
        <v>600</v>
      </c>
      <c r="T31" s="7">
        <f t="shared" si="33"/>
        <v>280</v>
      </c>
      <c r="U31" s="7">
        <f t="shared" si="34"/>
        <v>120</v>
      </c>
      <c r="V31" s="7">
        <v>50</v>
      </c>
      <c r="W31" s="7">
        <f t="shared" si="35"/>
        <v>300</v>
      </c>
      <c r="X31" s="7">
        <v>0</v>
      </c>
      <c r="Y31" s="32">
        <f t="shared" si="36"/>
        <v>6.6666666666666666E-2</v>
      </c>
      <c r="Z31" s="32">
        <f t="shared" si="37"/>
        <v>0</v>
      </c>
      <c r="AA31" s="33">
        <f t="shared" si="38"/>
        <v>9.2592592592592601E-2</v>
      </c>
      <c r="AB31" s="32">
        <f t="shared" si="39"/>
        <v>6.6666666666666666E-2</v>
      </c>
      <c r="AC31" s="33">
        <f t="shared" si="40"/>
        <v>2.5925925925925929E-2</v>
      </c>
      <c r="AD31" s="33">
        <f t="shared" si="41"/>
        <v>9.2592592592592601E-2</v>
      </c>
      <c r="AE31" s="33">
        <f t="shared" si="42"/>
        <v>6.6666666666666666E-2</v>
      </c>
      <c r="AF31" s="33">
        <f t="shared" si="43"/>
        <v>2.5925925925925929E-2</v>
      </c>
      <c r="AG31" s="33">
        <f t="shared" si="44"/>
        <v>0.11531986531986532</v>
      </c>
      <c r="AH31" s="33">
        <f t="shared" si="24"/>
        <v>8.9393939393939387E-2</v>
      </c>
      <c r="AI31" s="33">
        <f t="shared" si="25"/>
        <v>4.8653198653198657E-2</v>
      </c>
      <c r="AJ31" s="16">
        <f t="shared" si="26"/>
        <v>0.76923076923076927</v>
      </c>
      <c r="AK31" s="16">
        <f t="shared" si="27"/>
        <v>2.5</v>
      </c>
      <c r="AL31" s="16">
        <f t="shared" si="28"/>
        <v>0</v>
      </c>
      <c r="AM31" s="14">
        <f t="shared" si="29"/>
        <v>0.23076923076923073</v>
      </c>
      <c r="AN31" s="15">
        <f t="shared" si="30"/>
        <v>46.153846153846153</v>
      </c>
      <c r="AO31" s="15">
        <f t="shared" si="30"/>
        <v>36.923076923076927</v>
      </c>
      <c r="AP31" s="15">
        <f t="shared" si="30"/>
        <v>27.692307692307701</v>
      </c>
      <c r="AQ31" s="15">
        <f t="shared" si="30"/>
        <v>18.461538461538467</v>
      </c>
      <c r="AR31" s="15">
        <f t="shared" si="30"/>
        <v>9.2307692307692335</v>
      </c>
      <c r="AS31" s="15">
        <f t="shared" si="30"/>
        <v>0</v>
      </c>
    </row>
    <row r="32" spans="1:55" x14ac:dyDescent="0.25">
      <c r="A32" t="s">
        <v>6</v>
      </c>
      <c r="B32" s="5" t="s">
        <v>18</v>
      </c>
      <c r="C32">
        <v>7</v>
      </c>
      <c r="D32" t="s">
        <v>54</v>
      </c>
      <c r="E32">
        <v>3</v>
      </c>
      <c r="F32" s="2" t="s">
        <v>48</v>
      </c>
      <c r="G32">
        <v>1.07</v>
      </c>
      <c r="H32">
        <v>1</v>
      </c>
      <c r="I32">
        <v>1</v>
      </c>
      <c r="J32">
        <v>1</v>
      </c>
      <c r="K32" t="s">
        <v>87</v>
      </c>
      <c r="L32">
        <v>45</v>
      </c>
      <c r="M32">
        <v>15</v>
      </c>
      <c r="N32">
        <v>40</v>
      </c>
      <c r="O32">
        <v>160</v>
      </c>
      <c r="P32">
        <f t="shared" si="23"/>
        <v>80</v>
      </c>
      <c r="Q32" s="7">
        <v>300</v>
      </c>
      <c r="R32" s="7">
        <f t="shared" si="31"/>
        <v>1200</v>
      </c>
      <c r="S32" s="7">
        <f t="shared" si="32"/>
        <v>600</v>
      </c>
      <c r="T32" s="7">
        <f t="shared" si="33"/>
        <v>280</v>
      </c>
      <c r="U32" s="7">
        <f t="shared" si="34"/>
        <v>120</v>
      </c>
      <c r="V32" s="7">
        <v>50</v>
      </c>
      <c r="W32" s="7">
        <f t="shared" si="35"/>
        <v>300</v>
      </c>
      <c r="X32" s="7">
        <v>0</v>
      </c>
      <c r="Y32" s="32">
        <f t="shared" si="36"/>
        <v>1.9999999999999997E-2</v>
      </c>
      <c r="Z32" s="32">
        <f t="shared" si="37"/>
        <v>5.333333333333333E-2</v>
      </c>
      <c r="AA32" s="33">
        <f t="shared" si="38"/>
        <v>7.407407407407407E-2</v>
      </c>
      <c r="AB32" s="32">
        <f t="shared" si="39"/>
        <v>5.333333333333333E-2</v>
      </c>
      <c r="AC32" s="33">
        <f t="shared" si="40"/>
        <v>2.074074074074074E-2</v>
      </c>
      <c r="AD32" s="33">
        <f t="shared" si="41"/>
        <v>7.407407407407407E-2</v>
      </c>
      <c r="AE32" s="33">
        <f t="shared" si="42"/>
        <v>5.333333333333333E-2</v>
      </c>
      <c r="AF32" s="33">
        <f t="shared" si="43"/>
        <v>2.074074074074074E-2</v>
      </c>
      <c r="AG32" s="33">
        <f t="shared" si="44"/>
        <v>9.6801346801346805E-2</v>
      </c>
      <c r="AH32" s="33">
        <f t="shared" si="24"/>
        <v>7.6060606060606051E-2</v>
      </c>
      <c r="AI32" s="33">
        <f t="shared" si="25"/>
        <v>4.3468013468013468E-2</v>
      </c>
      <c r="AJ32" s="16">
        <f t="shared" si="26"/>
        <v>0.69230769230769229</v>
      </c>
      <c r="AK32" s="16">
        <f t="shared" si="27"/>
        <v>0.75</v>
      </c>
      <c r="AL32" s="16">
        <f t="shared" si="28"/>
        <v>2.6666666666666665</v>
      </c>
      <c r="AM32" s="14">
        <f t="shared" si="29"/>
        <v>0.30769230769230771</v>
      </c>
      <c r="AN32" s="15">
        <f t="shared" si="30"/>
        <v>41.53846153846154</v>
      </c>
      <c r="AO32" s="15">
        <f t="shared" si="30"/>
        <v>33.230769230769226</v>
      </c>
      <c r="AP32" s="15">
        <f t="shared" si="30"/>
        <v>24.923076923076927</v>
      </c>
      <c r="AQ32" s="15">
        <f t="shared" si="30"/>
        <v>16.615384615384617</v>
      </c>
      <c r="AR32" s="15">
        <f t="shared" si="30"/>
        <v>8.3076923076923102</v>
      </c>
      <c r="AS32" s="15">
        <f t="shared" si="30"/>
        <v>0</v>
      </c>
    </row>
    <row r="33" spans="1:45" x14ac:dyDescent="0.25">
      <c r="A33" t="s">
        <v>7</v>
      </c>
      <c r="B33" t="s">
        <v>19</v>
      </c>
      <c r="C33">
        <v>8</v>
      </c>
      <c r="D33" t="s">
        <v>54</v>
      </c>
      <c r="E33">
        <v>3</v>
      </c>
      <c r="F33" s="2" t="s">
        <v>48</v>
      </c>
      <c r="G33">
        <v>1.07</v>
      </c>
      <c r="H33">
        <v>1</v>
      </c>
      <c r="I33">
        <v>1.05</v>
      </c>
      <c r="J33">
        <v>1.02</v>
      </c>
      <c r="K33" t="s">
        <v>76</v>
      </c>
      <c r="L33">
        <v>20</v>
      </c>
      <c r="M33">
        <v>40</v>
      </c>
      <c r="N33">
        <v>40</v>
      </c>
      <c r="O33">
        <v>160</v>
      </c>
      <c r="P33">
        <f t="shared" si="23"/>
        <v>80</v>
      </c>
      <c r="Q33" s="7">
        <v>300</v>
      </c>
      <c r="R33" s="7">
        <f t="shared" si="31"/>
        <v>1200</v>
      </c>
      <c r="S33" s="7">
        <f t="shared" si="32"/>
        <v>600</v>
      </c>
      <c r="T33" s="7">
        <f t="shared" si="33"/>
        <v>280</v>
      </c>
      <c r="U33" s="7">
        <f t="shared" si="34"/>
        <v>120</v>
      </c>
      <c r="V33" s="7">
        <v>50</v>
      </c>
      <c r="W33" s="7">
        <f t="shared" si="35"/>
        <v>300</v>
      </c>
      <c r="X33" s="7">
        <v>0</v>
      </c>
      <c r="Y33" s="32">
        <f t="shared" si="36"/>
        <v>5.333333333333333E-2</v>
      </c>
      <c r="Z33" s="32">
        <f t="shared" si="37"/>
        <v>5.333333333333333E-2</v>
      </c>
      <c r="AA33" s="33">
        <f t="shared" si="38"/>
        <v>7.407407407407407E-2</v>
      </c>
      <c r="AB33" s="32">
        <f t="shared" si="39"/>
        <v>5.333333333333333E-2</v>
      </c>
      <c r="AC33" s="33">
        <f t="shared" si="40"/>
        <v>2.074074074074074E-2</v>
      </c>
      <c r="AD33" s="33">
        <f t="shared" si="41"/>
        <v>7.407407407407407E-2</v>
      </c>
      <c r="AE33" s="33">
        <f t="shared" si="42"/>
        <v>5.333333333333333E-2</v>
      </c>
      <c r="AF33" s="33">
        <f t="shared" si="43"/>
        <v>2.074074074074074E-2</v>
      </c>
      <c r="AG33" s="33">
        <f t="shared" si="44"/>
        <v>9.6801346801346805E-2</v>
      </c>
      <c r="AH33" s="33">
        <f t="shared" si="24"/>
        <v>7.6060606060606051E-2</v>
      </c>
      <c r="AI33" s="33">
        <f t="shared" si="25"/>
        <v>4.3468013468013468E-2</v>
      </c>
      <c r="AJ33" s="16">
        <f t="shared" si="26"/>
        <v>0.30769230769230771</v>
      </c>
      <c r="AK33" s="16">
        <f t="shared" si="27"/>
        <v>2</v>
      </c>
      <c r="AL33" s="16">
        <f t="shared" si="28"/>
        <v>2.6666666666666665</v>
      </c>
      <c r="AM33" s="14">
        <f t="shared" si="29"/>
        <v>0.69230769230769229</v>
      </c>
      <c r="AN33" s="15">
        <f t="shared" si="30"/>
        <v>18.461538461538463</v>
      </c>
      <c r="AO33" s="15">
        <f t="shared" si="30"/>
        <v>14.76923076923077</v>
      </c>
      <c r="AP33" s="15">
        <f t="shared" si="30"/>
        <v>11.07692307692308</v>
      </c>
      <c r="AQ33" s="15">
        <f t="shared" si="30"/>
        <v>7.3846153846153859</v>
      </c>
      <c r="AR33" s="15">
        <f t="shared" si="30"/>
        <v>3.6923076923076934</v>
      </c>
      <c r="AS33" s="15">
        <f t="shared" si="30"/>
        <v>0</v>
      </c>
    </row>
    <row r="34" spans="1:45" x14ac:dyDescent="0.25">
      <c r="A34" t="s">
        <v>29</v>
      </c>
      <c r="B34" t="s">
        <v>21</v>
      </c>
      <c r="C34">
        <v>10</v>
      </c>
      <c r="D34" t="s">
        <v>54</v>
      </c>
      <c r="E34">
        <v>3</v>
      </c>
      <c r="F34" s="2" t="s">
        <v>48</v>
      </c>
      <c r="G34">
        <v>1.07</v>
      </c>
      <c r="H34">
        <v>1</v>
      </c>
      <c r="I34">
        <v>1</v>
      </c>
      <c r="J34">
        <v>1</v>
      </c>
      <c r="K34" t="s">
        <v>75</v>
      </c>
      <c r="L34">
        <v>65</v>
      </c>
      <c r="M34">
        <v>0</v>
      </c>
      <c r="N34">
        <v>35</v>
      </c>
      <c r="O34">
        <v>160</v>
      </c>
      <c r="P34">
        <f t="shared" si="23"/>
        <v>80</v>
      </c>
      <c r="Q34" s="7">
        <v>300</v>
      </c>
      <c r="R34" s="7">
        <f t="shared" si="31"/>
        <v>1200</v>
      </c>
      <c r="S34" s="7">
        <f t="shared" si="32"/>
        <v>600</v>
      </c>
      <c r="T34" s="7">
        <f t="shared" si="33"/>
        <v>280</v>
      </c>
      <c r="U34" s="7">
        <f t="shared" si="34"/>
        <v>120</v>
      </c>
      <c r="V34" s="7">
        <v>50</v>
      </c>
      <c r="W34" s="7">
        <f t="shared" si="35"/>
        <v>300</v>
      </c>
      <c r="X34" s="7">
        <v>0</v>
      </c>
      <c r="Y34" s="32">
        <f t="shared" si="36"/>
        <v>0</v>
      </c>
      <c r="Z34" s="32">
        <f t="shared" si="37"/>
        <v>4.6666666666666669E-2</v>
      </c>
      <c r="AA34" s="33">
        <f t="shared" si="38"/>
        <v>6.4814814814814811E-2</v>
      </c>
      <c r="AB34" s="32">
        <f t="shared" si="39"/>
        <v>4.6666666666666669E-2</v>
      </c>
      <c r="AC34" s="33">
        <f t="shared" si="40"/>
        <v>1.8148148148148149E-2</v>
      </c>
      <c r="AD34" s="33">
        <f t="shared" si="41"/>
        <v>6.4814814814814811E-2</v>
      </c>
      <c r="AE34" s="33">
        <f t="shared" si="42"/>
        <v>4.6666666666666669E-2</v>
      </c>
      <c r="AF34" s="33">
        <f t="shared" si="43"/>
        <v>1.8148148148148149E-2</v>
      </c>
      <c r="AG34" s="33">
        <f t="shared" si="44"/>
        <v>8.7542087542087532E-2</v>
      </c>
      <c r="AH34" s="33">
        <f t="shared" si="24"/>
        <v>6.9393939393939397E-2</v>
      </c>
      <c r="AI34" s="33">
        <f t="shared" si="25"/>
        <v>4.0875420875420877E-2</v>
      </c>
      <c r="AJ34" s="16">
        <f t="shared" si="26"/>
        <v>1</v>
      </c>
      <c r="AK34" s="16">
        <f t="shared" si="27"/>
        <v>0</v>
      </c>
      <c r="AL34" s="16">
        <f t="shared" si="28"/>
        <v>2.3333333333333335</v>
      </c>
      <c r="AM34" s="14">
        <f t="shared" si="29"/>
        <v>0</v>
      </c>
      <c r="AN34" s="15">
        <f t="shared" si="30"/>
        <v>60</v>
      </c>
      <c r="AO34" s="15">
        <f t="shared" si="30"/>
        <v>48</v>
      </c>
      <c r="AP34" s="15">
        <f t="shared" si="30"/>
        <v>36.000000000000007</v>
      </c>
      <c r="AQ34" s="15">
        <f t="shared" si="30"/>
        <v>24.000000000000004</v>
      </c>
      <c r="AR34" s="15">
        <f t="shared" si="30"/>
        <v>12.000000000000004</v>
      </c>
      <c r="AS34" s="15">
        <f t="shared" si="30"/>
        <v>0</v>
      </c>
    </row>
    <row r="35" spans="1:45" x14ac:dyDescent="0.25">
      <c r="A35" t="s">
        <v>10</v>
      </c>
      <c r="B35" s="5" t="s">
        <v>22</v>
      </c>
      <c r="C35">
        <v>12</v>
      </c>
      <c r="D35" t="s">
        <v>54</v>
      </c>
      <c r="E35">
        <v>3</v>
      </c>
      <c r="F35" s="2" t="s">
        <v>48</v>
      </c>
      <c r="G35">
        <v>1.07</v>
      </c>
      <c r="H35">
        <v>1</v>
      </c>
      <c r="I35">
        <v>1.05</v>
      </c>
      <c r="J35">
        <v>1.02</v>
      </c>
      <c r="K35" t="s">
        <v>73</v>
      </c>
      <c r="L35">
        <v>10</v>
      </c>
      <c r="M35">
        <v>80</v>
      </c>
      <c r="N35">
        <v>10</v>
      </c>
      <c r="O35">
        <v>180</v>
      </c>
      <c r="P35">
        <f t="shared" si="23"/>
        <v>90</v>
      </c>
      <c r="Q35" s="7">
        <v>300</v>
      </c>
      <c r="R35" s="7">
        <f t="shared" si="31"/>
        <v>1200</v>
      </c>
      <c r="S35" s="7">
        <f t="shared" si="32"/>
        <v>600</v>
      </c>
      <c r="T35" s="7">
        <f t="shared" si="33"/>
        <v>280</v>
      </c>
      <c r="U35" s="7">
        <f t="shared" si="34"/>
        <v>120</v>
      </c>
      <c r="V35" s="7">
        <v>50</v>
      </c>
      <c r="W35" s="7">
        <f t="shared" si="35"/>
        <v>300</v>
      </c>
      <c r="X35" s="7">
        <v>0</v>
      </c>
      <c r="Y35" s="32">
        <f t="shared" si="36"/>
        <v>0.10666666666666666</v>
      </c>
      <c r="Z35" s="32">
        <f t="shared" si="37"/>
        <v>1.3333333333333332E-2</v>
      </c>
      <c r="AA35" s="33">
        <f t="shared" si="38"/>
        <v>0.14814814814814814</v>
      </c>
      <c r="AB35" s="32">
        <f t="shared" si="39"/>
        <v>0.10666666666666666</v>
      </c>
      <c r="AC35" s="33">
        <f t="shared" si="40"/>
        <v>4.148148148148148E-2</v>
      </c>
      <c r="AD35" s="33">
        <f t="shared" si="41"/>
        <v>0.14814814814814814</v>
      </c>
      <c r="AE35" s="33">
        <f t="shared" si="42"/>
        <v>0.10666666666666666</v>
      </c>
      <c r="AF35" s="33">
        <f t="shared" si="43"/>
        <v>4.148148148148148E-2</v>
      </c>
      <c r="AG35" s="33">
        <f t="shared" si="44"/>
        <v>0.17087542087542087</v>
      </c>
      <c r="AH35" s="33">
        <f t="shared" si="24"/>
        <v>0.12939393939393939</v>
      </c>
      <c r="AI35" s="33">
        <f t="shared" si="25"/>
        <v>6.4208754208754215E-2</v>
      </c>
      <c r="AJ35" s="16">
        <f t="shared" si="26"/>
        <v>0.15384615384615385</v>
      </c>
      <c r="AK35" s="16">
        <f t="shared" si="27"/>
        <v>4</v>
      </c>
      <c r="AL35" s="16">
        <f t="shared" si="28"/>
        <v>0.66666666666666663</v>
      </c>
      <c r="AM35" s="14">
        <f t="shared" si="29"/>
        <v>0.84615384615384615</v>
      </c>
      <c r="AN35" s="15">
        <f t="shared" si="30"/>
        <v>9.2307692307692317</v>
      </c>
      <c r="AO35" s="15">
        <f t="shared" si="30"/>
        <v>7.384615384615385</v>
      </c>
      <c r="AP35" s="15">
        <f t="shared" si="30"/>
        <v>5.5384615384615401</v>
      </c>
      <c r="AQ35" s="15">
        <f t="shared" si="30"/>
        <v>3.692307692307693</v>
      </c>
      <c r="AR35" s="15">
        <f t="shared" si="30"/>
        <v>1.8461538461538467</v>
      </c>
      <c r="AS35" s="15">
        <f t="shared" si="30"/>
        <v>0</v>
      </c>
    </row>
    <row r="38" spans="1:45" x14ac:dyDescent="0.25">
      <c r="B38" s="10" t="s">
        <v>83</v>
      </c>
      <c r="C38" s="10" t="s">
        <v>84</v>
      </c>
    </row>
    <row r="39" spans="1:45" x14ac:dyDescent="0.25">
      <c r="A39" s="9" t="s">
        <v>80</v>
      </c>
      <c r="B39" s="10">
        <v>65</v>
      </c>
      <c r="C39" s="10">
        <v>10</v>
      </c>
      <c r="D39" s="11">
        <f>C39/B39</f>
        <v>0.15384615384615385</v>
      </c>
    </row>
    <row r="40" spans="1:45" x14ac:dyDescent="0.25">
      <c r="A40" s="9" t="s">
        <v>81</v>
      </c>
      <c r="B40" s="10">
        <v>20</v>
      </c>
      <c r="C40" s="10">
        <v>45</v>
      </c>
      <c r="D40" s="11">
        <f>C40/B40</f>
        <v>2.25</v>
      </c>
    </row>
    <row r="41" spans="1:45" x14ac:dyDescent="0.25">
      <c r="A41" s="9" t="s">
        <v>82</v>
      </c>
      <c r="B41" s="10">
        <v>15</v>
      </c>
      <c r="C41" s="10">
        <v>45</v>
      </c>
      <c r="D41" s="11">
        <f>C41/B41</f>
        <v>3</v>
      </c>
      <c r="AN41" s="7">
        <v>60</v>
      </c>
      <c r="AO41" s="27">
        <v>0.5</v>
      </c>
    </row>
    <row r="42" spans="1:45" x14ac:dyDescent="0.25">
      <c r="AN42" s="7">
        <v>0</v>
      </c>
      <c r="AO42" s="27">
        <v>1</v>
      </c>
    </row>
    <row r="43" spans="1:45" x14ac:dyDescent="0.25">
      <c r="B43" s="7">
        <v>50</v>
      </c>
      <c r="D43" s="11">
        <f>C39/B43</f>
        <v>0.2</v>
      </c>
    </row>
    <row r="44" spans="1:45" x14ac:dyDescent="0.25">
      <c r="B44" s="7">
        <v>30</v>
      </c>
      <c r="D44" s="11">
        <f>C40/B44</f>
        <v>1.5</v>
      </c>
      <c r="AN44"/>
    </row>
    <row r="45" spans="1:45" x14ac:dyDescent="0.25">
      <c r="B45" s="7">
        <v>20</v>
      </c>
      <c r="D45" s="11">
        <f>C41/B45</f>
        <v>2.25</v>
      </c>
    </row>
    <row r="47" spans="1:45" x14ac:dyDescent="0.25">
      <c r="B47" s="10">
        <v>10</v>
      </c>
      <c r="D47" s="11">
        <f>C39/B47</f>
        <v>1</v>
      </c>
    </row>
    <row r="48" spans="1:45" x14ac:dyDescent="0.25">
      <c r="B48" s="10">
        <v>45</v>
      </c>
      <c r="D48" s="11">
        <f>C40/B48</f>
        <v>1</v>
      </c>
    </row>
    <row r="49" spans="1:4" x14ac:dyDescent="0.25">
      <c r="B49" s="10">
        <v>45</v>
      </c>
      <c r="D49" s="11">
        <f>C41/B49</f>
        <v>1</v>
      </c>
    </row>
    <row r="53" spans="1:4" x14ac:dyDescent="0.25">
      <c r="A53" t="s">
        <v>88</v>
      </c>
    </row>
    <row r="54" spans="1:4" x14ac:dyDescent="0.25">
      <c r="A54" t="s">
        <v>89</v>
      </c>
    </row>
    <row r="59" spans="1:4" x14ac:dyDescent="0.25">
      <c r="A59" t="s">
        <v>91</v>
      </c>
    </row>
  </sheetData>
  <autoFilter ref="A23:AY23" xr:uid="{C52ABC89-45C6-4813-A582-424981B758E8}">
    <sortState xmlns:xlrd2="http://schemas.microsoft.com/office/spreadsheetml/2017/richdata2" ref="A24:AY35">
      <sortCondition ref="P23"/>
    </sortState>
  </autoFilter>
  <conditionalFormatting sqref="AM24:AM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MODELLO FINALE </vt:lpstr>
      <vt:lpstr>Tabelle</vt:lpstr>
      <vt:lpstr>Irrigazione- suolo</vt:lpstr>
      <vt:lpstr>azoto-suolo</vt:lpstr>
      <vt:lpstr>semina-suolo</vt:lpstr>
      <vt:lpstr>INVESTIMENTO IDEALE</vt:lpstr>
      <vt:lpstr>riassunto VIGIS no azoto-suolo</vt:lpstr>
      <vt:lpstr>modello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2025-05-09T08:18:39Z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28e344-bb15-459b-97fd-14fa06bc1052_Enabled">
    <vt:lpwstr>true</vt:lpwstr>
  </property>
  <property fmtid="{D5CDD505-2E9C-101B-9397-08002B2CF9AE}" pid="3" name="MSIP_Label_0d28e344-bb15-459b-97fd-14fa06bc1052_SetDate">
    <vt:lpwstr>2023-01-11T14:38:21Z</vt:lpwstr>
  </property>
  <property fmtid="{D5CDD505-2E9C-101B-9397-08002B2CF9AE}" pid="4" name="MSIP_Label_0d28e344-bb15-459b-97fd-14fa06bc1052_Method">
    <vt:lpwstr>Standard</vt:lpwstr>
  </property>
  <property fmtid="{D5CDD505-2E9C-101B-9397-08002B2CF9AE}" pid="5" name="MSIP_Label_0d28e344-bb15-459b-97fd-14fa06bc1052_Name">
    <vt:lpwstr>Not Protected (Internal Use)</vt:lpwstr>
  </property>
  <property fmtid="{D5CDD505-2E9C-101B-9397-08002B2CF9AE}" pid="6" name="MSIP_Label_0d28e344-bb15-459b-97fd-14fa06bc1052_SiteId">
    <vt:lpwstr>3e20ecb2-9cb0-4df1-ad7b-914e31dcdda4</vt:lpwstr>
  </property>
  <property fmtid="{D5CDD505-2E9C-101B-9397-08002B2CF9AE}" pid="7" name="MSIP_Label_0d28e344-bb15-459b-97fd-14fa06bc1052_ActionId">
    <vt:lpwstr>7c815f70-de0e-454a-b53b-207e8129ac69</vt:lpwstr>
  </property>
  <property fmtid="{D5CDD505-2E9C-101B-9397-08002B2CF9AE}" pid="8" name="MSIP_Label_0d28e344-bb15-459b-97fd-14fa06bc1052_ContentBits">
    <vt:lpwstr>2</vt:lpwstr>
  </property>
</Properties>
</file>